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9140" windowHeight="7416"/>
  </bookViews>
  <sheets>
    <sheet name="Sheet1" sheetId="1" r:id="rId1"/>
    <sheet name="კვების ვაუჩერი" sheetId="2" r:id="rId2"/>
    <sheet name="ადრეული" sheetId="3" r:id="rId3"/>
    <sheet name="რეაბილიტაციააბილიტაცია" sheetId="4" r:id="rId4"/>
    <sheet name="დღის ცენტრები" sheetId="5" r:id="rId5"/>
    <sheet name="ეტლები" sheetId="12" r:id="rId6"/>
    <sheet name="დამხმარე საშუალებები" sheetId="6" r:id="rId7"/>
    <sheet name="დედათა და ბავშვთა" sheetId="7" r:id="rId8"/>
    <sheet name="ფოსტერი" sheetId="8" r:id="rId9"/>
    <sheet name="მცირე საოჯახო" sheetId="9" r:id="rId10"/>
    <sheet name="ქუჩის ბავშვები" sheetId="10" r:id="rId11"/>
    <sheet name="სათემო" sheetId="11" r:id="rId12"/>
    <sheet name="შინ მოვლა" sheetId="13" r:id="rId13"/>
  </sheets>
  <calcPr calcId="145621"/>
</workbook>
</file>

<file path=xl/calcChain.xml><?xml version="1.0" encoding="utf-8"?>
<calcChain xmlns="http://schemas.openxmlformats.org/spreadsheetml/2006/main">
  <c r="D27" i="1" l="1"/>
  <c r="B2" i="11"/>
  <c r="B3" i="11" s="1"/>
  <c r="B1" i="11"/>
  <c r="D26" i="1"/>
  <c r="D10" i="10"/>
  <c r="D7" i="10"/>
  <c r="D4" i="10"/>
  <c r="D3" i="10"/>
  <c r="D2" i="10"/>
  <c r="D1" i="10"/>
  <c r="B3" i="10"/>
  <c r="B2" i="10"/>
  <c r="B1" i="10"/>
  <c r="D28" i="1" l="1"/>
  <c r="E3" i="13"/>
  <c r="C3" i="13"/>
  <c r="D11" i="1"/>
  <c r="D23" i="1"/>
  <c r="C4" i="7"/>
  <c r="C3" i="7"/>
  <c r="B3" i="7"/>
  <c r="C2" i="7"/>
  <c r="C25" i="1"/>
  <c r="D25" i="1"/>
  <c r="C24" i="9"/>
  <c r="D23" i="9"/>
  <c r="C23" i="9"/>
  <c r="D16" i="1"/>
  <c r="C10" i="12"/>
  <c r="D15" i="1"/>
  <c r="E30" i="6"/>
  <c r="F29" i="6"/>
  <c r="E29" i="6"/>
  <c r="E19" i="6"/>
  <c r="D19" i="6"/>
  <c r="D3" i="6"/>
  <c r="E3" i="6"/>
  <c r="D12" i="1"/>
  <c r="D14" i="1"/>
  <c r="D13" i="1"/>
  <c r="C14" i="1"/>
  <c r="C13" i="1"/>
  <c r="C12" i="1" s="1"/>
  <c r="D4" i="12"/>
  <c r="C4" i="12"/>
  <c r="B4" i="12"/>
  <c r="F29" i="5" l="1"/>
  <c r="G6" i="1"/>
  <c r="F9" i="1"/>
  <c r="F8" i="1"/>
  <c r="F7" i="1"/>
  <c r="D4" i="1"/>
  <c r="C4" i="1"/>
  <c r="A4" i="4"/>
  <c r="D2" i="4"/>
  <c r="E2" i="4" s="1"/>
  <c r="E2" i="3"/>
  <c r="B3" i="3"/>
  <c r="C3" i="1" s="1"/>
  <c r="D2" i="3"/>
  <c r="F30" i="5" l="1"/>
  <c r="D10" i="1" s="1"/>
  <c r="C10" i="1"/>
  <c r="E18" i="6"/>
  <c r="E12" i="6"/>
  <c r="E8" i="6"/>
  <c r="E28" i="6"/>
  <c r="E27" i="6"/>
  <c r="E24" i="6"/>
  <c r="E23" i="6"/>
  <c r="E22" i="6"/>
  <c r="E21" i="6"/>
  <c r="E20" i="6"/>
  <c r="E17" i="6"/>
  <c r="E15" i="6"/>
  <c r="E13" i="6"/>
  <c r="E11" i="6"/>
  <c r="E9" i="6"/>
  <c r="E7" i="6"/>
  <c r="E5" i="6"/>
  <c r="D29" i="5"/>
  <c r="D30" i="5" s="1"/>
  <c r="D7" i="1" s="1"/>
  <c r="E29" i="5"/>
  <c r="C29" i="5"/>
  <c r="C30" i="5" s="1"/>
  <c r="D9" i="1" s="1"/>
  <c r="G25" i="1"/>
  <c r="C24" i="1"/>
  <c r="D24" i="1"/>
  <c r="G24" i="1" s="1"/>
  <c r="G3" i="8"/>
  <c r="G7" i="8" s="1"/>
  <c r="G4" i="8"/>
  <c r="G5" i="8"/>
  <c r="G6" i="8"/>
  <c r="G2" i="8"/>
  <c r="C7" i="8"/>
  <c r="D7" i="8"/>
  <c r="E7" i="8"/>
  <c r="F7" i="8"/>
  <c r="D3" i="8"/>
  <c r="D4" i="8"/>
  <c r="D5" i="8"/>
  <c r="D6" i="8"/>
  <c r="D2" i="8"/>
  <c r="B7" i="8"/>
  <c r="D6" i="1" l="1"/>
  <c r="C7" i="1"/>
  <c r="E30" i="5"/>
  <c r="D8" i="1" s="1"/>
  <c r="C9" i="1"/>
  <c r="C8" i="1"/>
  <c r="F3" i="4"/>
  <c r="F2" i="4"/>
  <c r="F4" i="4" s="1"/>
  <c r="C3" i="3"/>
  <c r="D3" i="1" s="1"/>
  <c r="D2" i="1"/>
  <c r="C3" i="2"/>
  <c r="F29" i="1"/>
  <c r="F11" i="1"/>
  <c r="G17" i="1"/>
  <c r="F20" i="1"/>
  <c r="F19" i="1"/>
  <c r="F18" i="1"/>
  <c r="E12" i="1"/>
  <c r="D29" i="1" l="1"/>
  <c r="C6" i="1"/>
  <c r="F12" i="1"/>
  <c r="E6" i="1"/>
</calcChain>
</file>

<file path=xl/sharedStrings.xml><?xml version="1.0" encoding="utf-8"?>
<sst xmlns="http://schemas.openxmlformats.org/spreadsheetml/2006/main" count="190" uniqueCount="145">
  <si>
    <t>მიტოვების რისკის ქვეშ მყოფი ბავშვების კვებით უზრუნველყოფის ქვეპროგრამა</t>
  </si>
  <si>
    <t>ბავშვთა ადრეული განვითარების ქვეპროგრამა;</t>
  </si>
  <si>
    <t>ბავშვთა რეაბილიტაციის ქვეპროგრამა;</t>
  </si>
  <si>
    <t>ომის ვეტერანთა რეაბილიტაციის ხელშეწყობის ქვეპროგრამა</t>
  </si>
  <si>
    <t>დღის ცენტრების ქვეპროგრამა</t>
  </si>
  <si>
    <t>დამხმარე საშუალებებით უზრუნველყოფის ქვეპროგრამა</t>
  </si>
  <si>
    <t>სავარძელ-ეტლებით უზრუნველყოფისა და შშმ პირთა დასაქმების ხელშეწყობის კომპონენტი</t>
  </si>
  <si>
    <t>საპროთეზო-ორთოპედიული საშუალებებით უზრუნველ­ყო­ფის კომპონენტი;</t>
  </si>
  <si>
    <t>სმენის აპარატებით უზრუნველყოფის კომპონენტი</t>
  </si>
  <si>
    <t>კოხლეარული იმპლანტით უზრუნველყოფის კომპონენტი</t>
  </si>
  <si>
    <t>ყავარჯნებით, ხელჯოხ-ყავარჯნებით, უსინათლოთა ხელ­ჯოხე­ბით და გადასაადგილებელი ჩარჩოებით უზრუნველყოფის კომპონენტი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</si>
  <si>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</si>
  <si>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ქვე­პროგ­­რამა</t>
  </si>
  <si>
    <t>მინდობით აღზრდის ქვეპროგრამა</t>
  </si>
  <si>
    <t>მცირე საოჯახო ტიპის სახლების ქვეპროგრამა</t>
  </si>
  <si>
    <t>მიუსაფარ ბავშვთა თავშესაფრით უზრუნველყოფის ქვეპროგ­რამა</t>
  </si>
  <si>
    <t>სათემო ორგანიზაციების ქვეპროგრამა</t>
  </si>
  <si>
    <t>შშმ ბავშვები</t>
  </si>
  <si>
    <t>შშმ პირები</t>
  </si>
  <si>
    <t>ბავშვები</t>
  </si>
  <si>
    <t>სპეციალიზირებული</t>
  </si>
  <si>
    <t>ქვეპროგრამა</t>
  </si>
  <si>
    <t>2013 წლის ბიუჯეტი</t>
  </si>
  <si>
    <t>ბენეფიციართა რაოდენობა 2014</t>
  </si>
  <si>
    <t>წლიური ბიუჯეტი 2014</t>
  </si>
  <si>
    <t>ბენეფიციართა რაოდენობა2013</t>
  </si>
  <si>
    <t>#</t>
  </si>
  <si>
    <t>ელ.ეტლი</t>
  </si>
  <si>
    <t>მექანიკური ეტლი</t>
  </si>
  <si>
    <t>კოხლეარი</t>
  </si>
  <si>
    <t>მორგება</t>
  </si>
  <si>
    <t>ლოგოპედი</t>
  </si>
  <si>
    <t>კვების ვაუჩერი</t>
  </si>
  <si>
    <t>ღირებულება</t>
  </si>
  <si>
    <t>რაოდენობა</t>
  </si>
  <si>
    <t>სულ</t>
  </si>
  <si>
    <t>კურსები</t>
  </si>
  <si>
    <t>გადაუდებელი</t>
  </si>
  <si>
    <t xml:space="preserve">ნათესაური </t>
  </si>
  <si>
    <t>ნათესაური შშმ</t>
  </si>
  <si>
    <t>რეგულარული</t>
  </si>
  <si>
    <t>რეგულარული შშმ</t>
  </si>
  <si>
    <t>2013 ბიუჯეტი</t>
  </si>
  <si>
    <t>2014 ბიუჯეტი</t>
  </si>
  <si>
    <r>
      <t>№</t>
    </r>
    <r>
      <rPr>
        <sz val="10"/>
        <color theme="1"/>
        <rFont val="Sylfaen"/>
        <family val="1"/>
        <charset val="204"/>
      </rPr>
      <t xml:space="preserve"> </t>
    </r>
  </si>
  <si>
    <r>
      <t>ადმინისტრაციულ-</t>
    </r>
    <r>
      <rPr>
        <sz val="10"/>
        <color theme="1"/>
        <rFont val="Sylfaen"/>
        <family val="1"/>
        <charset val="204"/>
      </rPr>
      <t xml:space="preserve"> </t>
    </r>
  </si>
  <si>
    <t xml:space="preserve">ქ. თბილისი </t>
  </si>
  <si>
    <t xml:space="preserve">ქ. ქუთაისი </t>
  </si>
  <si>
    <t xml:space="preserve">ქ. რუსთავი </t>
  </si>
  <si>
    <t xml:space="preserve">ქ. ბათუმი </t>
  </si>
  <si>
    <t xml:space="preserve">- </t>
  </si>
  <si>
    <t xml:space="preserve">გორის მუნიციპალიტეტი </t>
  </si>
  <si>
    <t xml:space="preserve">ქარელის მუნიციპალიტეტი </t>
  </si>
  <si>
    <t xml:space="preserve">თერჯოლის მუნიციპალიტეტი </t>
  </si>
  <si>
    <t xml:space="preserve">სამტრედიის მუნიციპალიტეტი </t>
  </si>
  <si>
    <t xml:space="preserve">ზესტაფონის მუნიციპალიტეტი </t>
  </si>
  <si>
    <t xml:space="preserve">ოზურგეთის მუნიციპალიტეტი </t>
  </si>
  <si>
    <t xml:space="preserve">თელავის მუნიციპალიტეტი </t>
  </si>
  <si>
    <t xml:space="preserve">გურჯაანის მუნიციპალიტეტი </t>
  </si>
  <si>
    <t xml:space="preserve">ფოთი </t>
  </si>
  <si>
    <t xml:space="preserve">ხაშური </t>
  </si>
  <si>
    <t xml:space="preserve">ზუგდიდი </t>
  </si>
  <si>
    <t xml:space="preserve">საგარეჯო </t>
  </si>
  <si>
    <t xml:space="preserve">ჩხოროწყუ </t>
  </si>
  <si>
    <t xml:space="preserve">მცხეთა </t>
  </si>
  <si>
    <t xml:space="preserve">თიანეთის მუნიციპალიტეტი </t>
  </si>
  <si>
    <t xml:space="preserve">წყალტუბოს მუნიციპალიტეტი </t>
  </si>
  <si>
    <t xml:space="preserve">ჭიათურის მუნიციპალიტეტი </t>
  </si>
  <si>
    <t xml:space="preserve">ლანჩხუთის მუნიციპალიტეტი </t>
  </si>
  <si>
    <t xml:space="preserve">ასპინძის მუნიციპალიტეტი </t>
  </si>
  <si>
    <t>ჯანმრთელი ბავშვები</t>
  </si>
  <si>
    <t>ჩოხატაური</t>
  </si>
  <si>
    <t>წალენჯიხა</t>
  </si>
  <si>
    <t>საჩხერე</t>
  </si>
  <si>
    <t>სულ ბენეფიციარი</t>
  </si>
  <si>
    <t>სულ ბიუჯეტი</t>
  </si>
  <si>
    <t>კომპონენტით გათვალისწინებული საქონლის</t>
  </si>
  <si>
    <t xml:space="preserve">დაფინანსების ლიმიტი ძველი </t>
  </si>
  <si>
    <t>დაფინანსების ლიმიტი შემოთავაზებული</t>
  </si>
  <si>
    <t>(მომსახურების) სახეობა</t>
  </si>
  <si>
    <t>(ლარებით)</t>
  </si>
  <si>
    <t xml:space="preserve">I. პროთეზირება </t>
  </si>
  <si>
    <t xml:space="preserve">1. ქვედა კიდურის პროთეზირება </t>
  </si>
  <si>
    <t>--</t>
  </si>
  <si>
    <t xml:space="preserve">1.1. ტერფის პროთეზი ლამინირებით, მისი ნაწილობრივი ამპუტაციისას </t>
  </si>
  <si>
    <t xml:space="preserve">1.2. მუხლს ქვედა პროთეზი </t>
  </si>
  <si>
    <t xml:space="preserve">1.2.1. მუხლს ქვედა მოდულური პროთეზი ლამინაციური ბუდით სილიკონ ლაინერით </t>
  </si>
  <si>
    <t xml:space="preserve">1.4. მუხლს ზედა პროთეზი </t>
  </si>
  <si>
    <t>1.4.1. მუხლს ზედა მოდულური პროთეზი ლამინაციური ბუდით სილიკონ ლაინერით</t>
  </si>
  <si>
    <t xml:space="preserve">2. ზედა კიდურის პროთეზირება </t>
  </si>
  <si>
    <t xml:space="preserve">2.2. იდაყვს ქვედა პროთეზი </t>
  </si>
  <si>
    <t xml:space="preserve">II. ორთეზირება </t>
  </si>
  <si>
    <t xml:space="preserve">1. ტერფის ორთეზი კოჭ-წვივის სახსრის ჩართვით </t>
  </si>
  <si>
    <t xml:space="preserve">2. ორთეზი მუხლისა და კოჭ-წვივის სახსრის ჩართვით </t>
  </si>
  <si>
    <t xml:space="preserve">3. მუხლის ორთეზი </t>
  </si>
  <si>
    <t xml:space="preserve">4. ორთეზი მენჯ-ბარძაყის, მუხლისა და კოჭ-წვივის სახსრების ჩართვით </t>
  </si>
  <si>
    <t xml:space="preserve">5. ორთეზი იდაყვს ქვედა </t>
  </si>
  <si>
    <t xml:space="preserve">6. ორთეზი იდაყვის სახსრის ჩართვით </t>
  </si>
  <si>
    <t>-</t>
  </si>
  <si>
    <t xml:space="preserve">7. ორთეზი კისრის დონეზე </t>
  </si>
  <si>
    <t xml:space="preserve">8. ორთეზი გულმკერდ-წელის დონეზე </t>
  </si>
  <si>
    <t xml:space="preserve">9. ორთეზი წელის დონეზე </t>
  </si>
  <si>
    <t> 1.4.3. მოდულური პროთეზი მუხლის სახსრის ამოსახსვრისას ლამინაციური  ბუდით სილიკონ ლაინერით</t>
  </si>
  <si>
    <t xml:space="preserve">2.2.1. იდაყვს ქვედა მოდულური პროთეზი ლამინაციური ბუდით </t>
  </si>
  <si>
    <t>25% დამატებით მომსახურეთა რაოდენობა</t>
  </si>
  <si>
    <t>10% დამატებით მომსახურეთა რაოდენობა</t>
  </si>
  <si>
    <t>სპეცილიზირებული</t>
  </si>
  <si>
    <t>მექნიკური</t>
  </si>
  <si>
    <t>1.2.2 ხის კვანძით</t>
  </si>
  <si>
    <t xml:space="preserve">1.3. მოდულური პროთეზი მენჯ-ბარძაყის ამოსახსვრისას ლამინაციური ბუდით </t>
  </si>
  <si>
    <t>1.4.2 ხის კვანძით</t>
  </si>
  <si>
    <t>2.1. იდაყვს ზედა მოდულური პროთეზი ლამინაციური ბუდით</t>
  </si>
  <si>
    <t>2.2.2 კოსმეტიკა უცხოური</t>
  </si>
  <si>
    <t>სმენის აპარატი</t>
  </si>
  <si>
    <t>ადმინისტრაციულ–ტერიტორიული ერთეული</t>
  </si>
  <si>
    <t>ლიმიტი 2014</t>
  </si>
  <si>
    <t xml:space="preserve">ლიმიტი 2013 </t>
  </si>
  <si>
    <t>ქ. თბილისი</t>
  </si>
  <si>
    <t>ქ. რუსთავი</t>
  </si>
  <si>
    <t>გარდაბნის მუნიციპალიტეტი</t>
  </si>
  <si>
    <t>მცხეთა მუნიციპალიტეტი</t>
  </si>
  <si>
    <t>დუშეთის მუნიციპალიტეტი</t>
  </si>
  <si>
    <t>ქ. ქუთაისი</t>
  </si>
  <si>
    <t>ხონის მუნიციპალიტეტი</t>
  </si>
  <si>
    <t>ზესტაფონის მუნიციპალიტეტი</t>
  </si>
  <si>
    <t>საჩხერის მუნიციპალიტეტი</t>
  </si>
  <si>
    <t>ქ. ბათუმი</t>
  </si>
  <si>
    <t xml:space="preserve">ლაგოდეხის მუნიციპალიტეტი </t>
  </si>
  <si>
    <t xml:space="preserve">ახმეტის მუნიციპალიტეტი </t>
  </si>
  <si>
    <t xml:space="preserve">წალენჯიხის მუნიციპალიტეტი </t>
  </si>
  <si>
    <t xml:space="preserve">ჩხოროწყუს მუნიციპალიტეტი </t>
  </si>
  <si>
    <t xml:space="preserve">ამბროლაურის მუნიციპალიტეტი </t>
  </si>
  <si>
    <t xml:space="preserve">ხაშურის მუნიციპალიტეტი  </t>
  </si>
  <si>
    <t xml:space="preserve">კასპის მუნიციპალიტეტი </t>
  </si>
  <si>
    <t>ბიუჯეტი</t>
  </si>
  <si>
    <t>ქუთაისი</t>
  </si>
  <si>
    <t>თბილისი</t>
  </si>
  <si>
    <t>შინ მოვლა</t>
  </si>
  <si>
    <t>ღირებულება თვიური</t>
  </si>
  <si>
    <t>თვეში ვიზიტი</t>
  </si>
  <si>
    <t>სენაკი</t>
  </si>
  <si>
    <t>დღის ცენტრი</t>
  </si>
  <si>
    <t>კრიზისული</t>
  </si>
  <si>
    <t>ტრანზიტული</t>
  </si>
  <si>
    <t>მობილური ჯგუფი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</si>
</sst>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Sylfae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u/>
      <sz val="12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i/>
      <sz val="11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0" xfId="0" applyNumberFormat="1" applyAlignment="1">
      <alignment horizontal="left" vertical="top" wrapText="1"/>
    </xf>
    <xf numFmtId="3" fontId="0" fillId="0" borderId="0" xfId="0" applyNumberFormat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left" vertical="top" wrapText="1"/>
    </xf>
    <xf numFmtId="3" fontId="8" fillId="0" borderId="0" xfId="0" applyNumberFormat="1" applyFont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justify" vertical="center" wrapText="1"/>
    </xf>
    <xf numFmtId="0" fontId="0" fillId="0" borderId="0" xfId="0" applyBorder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Border="1"/>
    <xf numFmtId="3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3" fontId="0" fillId="0" borderId="1" xfId="0" applyNumberFormat="1" applyBorder="1"/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vertical="top" wrapText="1"/>
    </xf>
    <xf numFmtId="0" fontId="9" fillId="0" borderId="3" xfId="0" applyNumberFormat="1" applyFont="1" applyBorder="1" applyAlignment="1">
      <alignment vertical="top" wrapText="1"/>
    </xf>
    <xf numFmtId="0" fontId="9" fillId="0" borderId="7" xfId="0" applyNumberFormat="1" applyFont="1" applyBorder="1" applyAlignment="1">
      <alignment vertical="top" wrapText="1"/>
    </xf>
    <xf numFmtId="0" fontId="9" fillId="0" borderId="2" xfId="0" applyNumberFormat="1" applyFont="1" applyBorder="1" applyAlignment="1">
      <alignment vertical="top" wrapText="1"/>
    </xf>
    <xf numFmtId="0" fontId="9" fillId="0" borderId="8" xfId="0" applyNumberFormat="1" applyFont="1" applyBorder="1" applyAlignment="1">
      <alignment vertical="top" wrapText="1"/>
    </xf>
    <xf numFmtId="0" fontId="6" fillId="0" borderId="2" xfId="0" applyNumberFormat="1" applyFont="1" applyBorder="1" applyAlignment="1">
      <alignment vertical="top" wrapText="1"/>
    </xf>
    <xf numFmtId="0" fontId="6" fillId="0" borderId="8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9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/>
    <xf numFmtId="1" fontId="0" fillId="0" borderId="1" xfId="0" applyNumberFormat="1" applyBorder="1" applyAlignment="1">
      <alignment wrapText="1"/>
    </xf>
    <xf numFmtId="1" fontId="0" fillId="0" borderId="0" xfId="0" applyNumberFormat="1"/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vertical="top" wrapText="1"/>
    </xf>
    <xf numFmtId="3" fontId="7" fillId="0" borderId="0" xfId="0" applyNumberFormat="1" applyFont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3" fontId="0" fillId="0" borderId="11" xfId="0" applyNumberForma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3" fontId="0" fillId="0" borderId="13" xfId="0" applyNumberFormat="1" applyBorder="1" applyAlignment="1">
      <alignment horizontal="left" vertical="top" wrapText="1"/>
    </xf>
    <xf numFmtId="3" fontId="0" fillId="0" borderId="14" xfId="0" applyNumberForma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vertical="top" wrapText="1"/>
    </xf>
    <xf numFmtId="3" fontId="6" fillId="0" borderId="3" xfId="0" applyNumberFormat="1" applyFont="1" applyBorder="1" applyAlignment="1">
      <alignment vertical="top" wrapText="1"/>
    </xf>
    <xf numFmtId="3" fontId="6" fillId="0" borderId="2" xfId="0" applyNumberFormat="1" applyFont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3" fontId="0" fillId="0" borderId="0" xfId="0" applyNumberFormat="1" applyFont="1"/>
    <xf numFmtId="3" fontId="12" fillId="2" borderId="1" xfId="0" applyNumberFormat="1" applyFont="1" applyFill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3" fontId="7" fillId="0" borderId="0" xfId="0" applyNumberFormat="1" applyFont="1"/>
    <xf numFmtId="0" fontId="7" fillId="0" borderId="1" xfId="0" applyNumberFormat="1" applyFont="1" applyBorder="1" applyAlignment="1">
      <alignment vertical="top" wrapText="1"/>
    </xf>
    <xf numFmtId="0" fontId="13" fillId="0" borderId="1" xfId="0" applyNumberFormat="1" applyFont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3" fontId="7" fillId="0" borderId="0" xfId="0" applyNumberFormat="1" applyFont="1" applyAlignment="1">
      <alignment wrapText="1"/>
    </xf>
    <xf numFmtId="0" fontId="0" fillId="0" borderId="1" xfId="0" applyBorder="1" applyAlignment="1">
      <alignment vertical="top" wrapText="1"/>
    </xf>
    <xf numFmtId="0" fontId="7" fillId="0" borderId="6" xfId="0" applyNumberFormat="1" applyFont="1" applyBorder="1" applyAlignment="1">
      <alignment vertical="top" wrapText="1"/>
    </xf>
    <xf numFmtId="0" fontId="7" fillId="0" borderId="9" xfId="0" applyNumberFormat="1" applyFont="1" applyBorder="1" applyAlignment="1">
      <alignment vertical="top" wrapText="1"/>
    </xf>
    <xf numFmtId="0" fontId="9" fillId="0" borderId="4" xfId="0" applyNumberFormat="1" applyFont="1" applyBorder="1" applyAlignment="1">
      <alignment vertical="top" wrapText="1"/>
    </xf>
    <xf numFmtId="0" fontId="9" fillId="0" borderId="5" xfId="0" applyNumberFormat="1" applyFont="1" applyBorder="1" applyAlignment="1">
      <alignment vertical="top" wrapText="1"/>
    </xf>
    <xf numFmtId="3" fontId="0" fillId="3" borderId="1" xfId="0" applyNumberFormat="1" applyFill="1" applyBorder="1" applyAlignment="1">
      <alignment vertical="top" wrapText="1"/>
    </xf>
    <xf numFmtId="0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28" sqref="D28"/>
    </sheetView>
  </sheetViews>
  <sheetFormatPr defaultColWidth="38.5546875" defaultRowHeight="14.4" x14ac:dyDescent="0.3"/>
  <cols>
    <col min="1" max="1" width="3.88671875" style="2" customWidth="1"/>
    <col min="2" max="2" width="56.21875" style="2" customWidth="1"/>
    <col min="3" max="3" width="16.44140625" style="2" customWidth="1"/>
    <col min="4" max="4" width="21.33203125" style="11" customWidth="1"/>
    <col min="5" max="5" width="17" style="1" customWidth="1"/>
    <col min="6" max="6" width="19" style="10" customWidth="1"/>
    <col min="7" max="7" width="17.109375" style="2" customWidth="1"/>
    <col min="8" max="16384" width="38.5546875" style="2"/>
  </cols>
  <sheetData>
    <row r="1" spans="1:7" ht="28.8" x14ac:dyDescent="0.3">
      <c r="A1" s="5" t="s">
        <v>26</v>
      </c>
      <c r="B1" s="6" t="s">
        <v>21</v>
      </c>
      <c r="C1" s="5" t="s">
        <v>23</v>
      </c>
      <c r="D1" s="22" t="s">
        <v>24</v>
      </c>
      <c r="E1" s="3" t="s">
        <v>25</v>
      </c>
      <c r="F1" s="9" t="s">
        <v>22</v>
      </c>
    </row>
    <row r="2" spans="1:7" ht="32.4" x14ac:dyDescent="0.3">
      <c r="A2" s="5">
        <v>1</v>
      </c>
      <c r="B2" s="7" t="s">
        <v>0</v>
      </c>
      <c r="C2" s="5"/>
      <c r="D2" s="29">
        <f>'კვების ვაუჩერი'!C3</f>
        <v>960000</v>
      </c>
      <c r="E2" s="3">
        <v>700</v>
      </c>
      <c r="F2" s="13">
        <v>404500</v>
      </c>
    </row>
    <row r="3" spans="1:7" ht="16.2" x14ac:dyDescent="0.3">
      <c r="A3" s="5">
        <v>2</v>
      </c>
      <c r="B3" s="7" t="s">
        <v>1</v>
      </c>
      <c r="C3" s="5">
        <f>ადრეული!B3</f>
        <v>320</v>
      </c>
      <c r="D3" s="29">
        <f>ადრეული!C3</f>
        <v>345600</v>
      </c>
      <c r="E3" s="3">
        <v>250</v>
      </c>
      <c r="F3" s="13">
        <v>232500</v>
      </c>
    </row>
    <row r="4" spans="1:7" ht="16.2" x14ac:dyDescent="0.3">
      <c r="A4" s="5">
        <v>3</v>
      </c>
      <c r="B4" s="7" t="s">
        <v>2</v>
      </c>
      <c r="C4" s="43">
        <f>რეაბილიტაციააბილიტაცია!A4</f>
        <v>4590</v>
      </c>
      <c r="D4" s="29">
        <f>რეაბილიტაციააბილიტაცია!F4</f>
        <v>1407000</v>
      </c>
      <c r="E4" s="3">
        <v>900</v>
      </c>
      <c r="F4" s="13">
        <v>1241000</v>
      </c>
    </row>
    <row r="5" spans="1:7" ht="32.4" x14ac:dyDescent="0.3">
      <c r="A5" s="5">
        <v>4</v>
      </c>
      <c r="B5" s="7" t="s">
        <v>3</v>
      </c>
      <c r="C5" s="5">
        <v>80</v>
      </c>
      <c r="D5" s="29">
        <v>20000</v>
      </c>
      <c r="E5" s="3">
        <v>160</v>
      </c>
      <c r="F5" s="13">
        <v>40000</v>
      </c>
    </row>
    <row r="6" spans="1:7" ht="16.2" x14ac:dyDescent="0.3">
      <c r="A6" s="70">
        <v>5</v>
      </c>
      <c r="B6" s="7" t="s">
        <v>4</v>
      </c>
      <c r="C6" s="5">
        <f>C7+C8+C9</f>
        <v>1662</v>
      </c>
      <c r="D6" s="29">
        <f>D7+D8+D9+D10</f>
        <v>3552140</v>
      </c>
      <c r="E6" s="3">
        <f>E7+E8+E9</f>
        <v>1576</v>
      </c>
      <c r="F6" s="13">
        <v>2838200</v>
      </c>
      <c r="G6" s="44">
        <f>F7+F8+F9</f>
        <v>3306228</v>
      </c>
    </row>
    <row r="7" spans="1:7" ht="16.2" x14ac:dyDescent="0.3">
      <c r="A7" s="70"/>
      <c r="B7" s="4" t="s">
        <v>17</v>
      </c>
      <c r="C7" s="5">
        <f>'დღის ცენტრები'!D29</f>
        <v>668</v>
      </c>
      <c r="D7" s="22">
        <f>'დღის ცენტრები'!D30</f>
        <v>1616560</v>
      </c>
      <c r="E7" s="3">
        <v>589</v>
      </c>
      <c r="F7" s="9">
        <f>E7*11*228</f>
        <v>1477212</v>
      </c>
    </row>
    <row r="8" spans="1:7" ht="16.2" x14ac:dyDescent="0.3">
      <c r="A8" s="70"/>
      <c r="B8" s="4" t="s">
        <v>18</v>
      </c>
      <c r="C8" s="5">
        <f>'დღის ცენტრები'!E29</f>
        <v>422</v>
      </c>
      <c r="D8" s="22">
        <f>'დღის ცენტრები'!E30</f>
        <v>1021240</v>
      </c>
      <c r="E8" s="3">
        <v>420</v>
      </c>
      <c r="F8" s="9">
        <f t="shared" ref="F8" si="0">E8*11*228</f>
        <v>1053360</v>
      </c>
    </row>
    <row r="9" spans="1:7" ht="16.2" x14ac:dyDescent="0.3">
      <c r="A9" s="70"/>
      <c r="B9" s="4" t="s">
        <v>19</v>
      </c>
      <c r="C9" s="5">
        <f>'დღის ცენტრები'!C29</f>
        <v>572</v>
      </c>
      <c r="D9" s="22">
        <f>'დღის ცენტრები'!C30</f>
        <v>755040</v>
      </c>
      <c r="E9" s="3">
        <v>567</v>
      </c>
      <c r="F9" s="9">
        <f>E9*6*228</f>
        <v>775656</v>
      </c>
    </row>
    <row r="10" spans="1:7" ht="16.2" x14ac:dyDescent="0.3">
      <c r="A10" s="70"/>
      <c r="B10" s="4" t="s">
        <v>20</v>
      </c>
      <c r="C10" s="5">
        <f>'დღის ცენტრები'!F29</f>
        <v>50</v>
      </c>
      <c r="D10" s="22">
        <f>'დღის ცენტრები'!F30</f>
        <v>159300</v>
      </c>
      <c r="E10" s="3"/>
      <c r="F10" s="9"/>
    </row>
    <row r="11" spans="1:7" ht="32.4" x14ac:dyDescent="0.3">
      <c r="A11" s="70">
        <v>6</v>
      </c>
      <c r="B11" s="7" t="s">
        <v>5</v>
      </c>
      <c r="C11" s="5"/>
      <c r="D11" s="22">
        <f>D12+D15+D16+D17+D21</f>
        <v>3573150.9090909092</v>
      </c>
      <c r="E11" s="3"/>
      <c r="F11" s="13">
        <f>F12+F15+F16+F17+F21</f>
        <v>3576700</v>
      </c>
    </row>
    <row r="12" spans="1:7" ht="32.4" x14ac:dyDescent="0.3">
      <c r="A12" s="70"/>
      <c r="B12" s="12" t="s">
        <v>6</v>
      </c>
      <c r="C12" s="5">
        <f>C13+C14</f>
        <v>435</v>
      </c>
      <c r="D12" s="29">
        <f>D13+D14</f>
        <v>241800</v>
      </c>
      <c r="E12" s="9">
        <f>E13+E14</f>
        <v>700</v>
      </c>
      <c r="F12" s="15">
        <f>F13+F14</f>
        <v>308700</v>
      </c>
    </row>
    <row r="13" spans="1:7" ht="16.2" x14ac:dyDescent="0.3">
      <c r="A13" s="70"/>
      <c r="B13" s="4" t="s">
        <v>28</v>
      </c>
      <c r="C13" s="5">
        <f>ეტლები!B2</f>
        <v>400</v>
      </c>
      <c r="D13" s="22">
        <f>ეტლები!B4</f>
        <v>120000</v>
      </c>
      <c r="E13" s="3">
        <v>666</v>
      </c>
      <c r="F13" s="9">
        <v>190380</v>
      </c>
    </row>
    <row r="14" spans="1:7" ht="16.2" x14ac:dyDescent="0.3">
      <c r="A14" s="70"/>
      <c r="B14" s="4" t="s">
        <v>27</v>
      </c>
      <c r="C14" s="5">
        <f>ეტლები!C2</f>
        <v>35</v>
      </c>
      <c r="D14" s="22">
        <f>ეტლები!C4</f>
        <v>121800</v>
      </c>
      <c r="E14" s="3">
        <v>34</v>
      </c>
      <c r="F14" s="9">
        <v>118320</v>
      </c>
    </row>
    <row r="15" spans="1:7" ht="32.4" x14ac:dyDescent="0.3">
      <c r="A15" s="70"/>
      <c r="B15" s="4" t="s">
        <v>7</v>
      </c>
      <c r="C15" s="5"/>
      <c r="D15" s="29">
        <f>'დამხმარე საშუალებები'!E30</f>
        <v>1403050.9090909092</v>
      </c>
      <c r="E15" s="3"/>
      <c r="F15" s="9">
        <v>1339700</v>
      </c>
    </row>
    <row r="16" spans="1:7" ht="16.2" x14ac:dyDescent="0.3">
      <c r="A16" s="70"/>
      <c r="B16" s="4" t="s">
        <v>8</v>
      </c>
      <c r="C16" s="5">
        <v>1000</v>
      </c>
      <c r="D16" s="29">
        <f>ეტლები!C10</f>
        <v>450000</v>
      </c>
      <c r="E16" s="3">
        <v>1000</v>
      </c>
      <c r="F16" s="9">
        <v>450000</v>
      </c>
    </row>
    <row r="17" spans="1:7" ht="32.4" x14ac:dyDescent="0.3">
      <c r="A17" s="70"/>
      <c r="B17" s="12" t="s">
        <v>9</v>
      </c>
      <c r="C17" s="5"/>
      <c r="D17" s="75">
        <v>1459800</v>
      </c>
      <c r="E17" s="3"/>
      <c r="F17" s="9">
        <v>1459800</v>
      </c>
      <c r="G17" s="11">
        <f>F18+F19+F20</f>
        <v>1225000</v>
      </c>
    </row>
    <row r="18" spans="1:7" ht="16.2" x14ac:dyDescent="0.3">
      <c r="A18" s="70"/>
      <c r="B18" s="4" t="s">
        <v>29</v>
      </c>
      <c r="C18" s="5"/>
      <c r="D18" s="22"/>
      <c r="E18" s="3">
        <v>30</v>
      </c>
      <c r="F18" s="9">
        <f>28500*E18</f>
        <v>855000</v>
      </c>
    </row>
    <row r="19" spans="1:7" ht="16.2" x14ac:dyDescent="0.3">
      <c r="A19" s="70"/>
      <c r="B19" s="4" t="s">
        <v>30</v>
      </c>
      <c r="C19" s="5"/>
      <c r="D19" s="22"/>
      <c r="E19" s="3">
        <v>62</v>
      </c>
      <c r="F19" s="9">
        <f>E19*3000</f>
        <v>186000</v>
      </c>
      <c r="G19" s="11"/>
    </row>
    <row r="20" spans="1:7" ht="16.2" x14ac:dyDescent="0.3">
      <c r="A20" s="70"/>
      <c r="B20" s="4" t="s">
        <v>31</v>
      </c>
      <c r="C20" s="5"/>
      <c r="D20" s="22"/>
      <c r="E20" s="3">
        <v>92</v>
      </c>
      <c r="F20" s="9">
        <f>E20*2000</f>
        <v>184000</v>
      </c>
      <c r="G20" s="11"/>
    </row>
    <row r="21" spans="1:7" ht="48.6" x14ac:dyDescent="0.3">
      <c r="A21" s="70"/>
      <c r="B21" s="4" t="s">
        <v>10</v>
      </c>
      <c r="C21" s="5"/>
      <c r="D21" s="29">
        <v>18500</v>
      </c>
      <c r="E21" s="3">
        <v>400</v>
      </c>
      <c r="F21" s="9">
        <v>18500</v>
      </c>
    </row>
    <row r="22" spans="1:7" ht="32.4" x14ac:dyDescent="0.3">
      <c r="A22" s="5">
        <v>7</v>
      </c>
      <c r="B22" s="7" t="s">
        <v>11</v>
      </c>
      <c r="C22" s="5"/>
      <c r="D22" s="75"/>
      <c r="E22" s="3"/>
      <c r="F22" s="13">
        <v>12800</v>
      </c>
    </row>
    <row r="23" spans="1:7" ht="32.4" x14ac:dyDescent="0.3">
      <c r="A23" s="5">
        <v>8</v>
      </c>
      <c r="B23" s="7" t="s">
        <v>12</v>
      </c>
      <c r="C23" s="5"/>
      <c r="D23" s="22">
        <f>'დედათა და ბავშვთა'!C4</f>
        <v>383010</v>
      </c>
      <c r="E23" s="3">
        <v>58</v>
      </c>
      <c r="F23" s="13">
        <v>271000</v>
      </c>
    </row>
    <row r="24" spans="1:7" ht="16.2" x14ac:dyDescent="0.3">
      <c r="A24" s="5">
        <v>9</v>
      </c>
      <c r="B24" s="7" t="s">
        <v>13</v>
      </c>
      <c r="C24" s="5">
        <f>ფოსტერი!E7</f>
        <v>1195</v>
      </c>
      <c r="D24" s="29">
        <f>ფოსტერი!G7</f>
        <v>6114000</v>
      </c>
      <c r="E24" s="3">
        <v>1094</v>
      </c>
      <c r="F24" s="13">
        <v>5681400</v>
      </c>
      <c r="G24" s="11">
        <f>(D24-F24)/100/12</f>
        <v>360.5</v>
      </c>
    </row>
    <row r="25" spans="1:7" ht="16.2" x14ac:dyDescent="0.3">
      <c r="A25" s="5">
        <v>10</v>
      </c>
      <c r="B25" s="7" t="s">
        <v>14</v>
      </c>
      <c r="C25" s="5">
        <f>'მცირე საოჯახო'!C23</f>
        <v>407</v>
      </c>
      <c r="D25" s="22">
        <f>'მცირე საოჯახო'!C24</f>
        <v>2525435</v>
      </c>
      <c r="E25" s="3">
        <v>400</v>
      </c>
      <c r="F25" s="13">
        <v>2263300</v>
      </c>
      <c r="G25" s="2">
        <f>F25/365/17</f>
        <v>364.754230459307</v>
      </c>
    </row>
    <row r="26" spans="1:7" ht="32.4" x14ac:dyDescent="0.3">
      <c r="A26" s="5">
        <v>11</v>
      </c>
      <c r="B26" s="7" t="s">
        <v>15</v>
      </c>
      <c r="C26" s="5"/>
      <c r="D26" s="22">
        <f>'ქუჩის ბავშვები'!D10</f>
        <v>497350</v>
      </c>
      <c r="E26" s="3"/>
      <c r="F26" s="13">
        <v>304000</v>
      </c>
    </row>
    <row r="27" spans="1:7" ht="16.2" x14ac:dyDescent="0.3">
      <c r="A27" s="8">
        <v>12</v>
      </c>
      <c r="B27" s="7" t="s">
        <v>16</v>
      </c>
      <c r="C27" s="8"/>
      <c r="D27" s="75">
        <f>სათემო!B3</f>
        <v>808640</v>
      </c>
      <c r="E27" s="3">
        <v>161</v>
      </c>
      <c r="F27" s="13">
        <v>686600</v>
      </c>
    </row>
    <row r="28" spans="1:7" ht="16.2" x14ac:dyDescent="0.3">
      <c r="A28" s="8">
        <v>13</v>
      </c>
      <c r="B28" s="7" t="s">
        <v>137</v>
      </c>
      <c r="C28" s="8"/>
      <c r="D28" s="22">
        <f>'შინ მოვლა'!C3</f>
        <v>114400</v>
      </c>
      <c r="E28" s="3"/>
      <c r="F28" s="13"/>
    </row>
    <row r="29" spans="1:7" x14ac:dyDescent="0.3">
      <c r="D29" s="11">
        <f>D2+D3+D4+D5+D6+D11+D23+D24+D25+D26+D27+D28</f>
        <v>20300725.90909091</v>
      </c>
      <c r="F29" s="14">
        <f>F2+F3+F4+F5+F6+F11+F22+F23+F24+F25+F26+F27</f>
        <v>17552000</v>
      </c>
    </row>
  </sheetData>
  <mergeCells count="2">
    <mergeCell ref="A6:A10"/>
    <mergeCell ref="A11:A2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6" workbookViewId="0">
      <selection activeCell="D22" sqref="D22"/>
    </sheetView>
  </sheetViews>
  <sheetFormatPr defaultRowHeight="14.4" x14ac:dyDescent="0.3"/>
  <cols>
    <col min="1" max="1" width="5.109375" style="68" customWidth="1"/>
    <col min="2" max="2" width="26" style="68" customWidth="1"/>
    <col min="3" max="3" width="9.88671875" style="68" customWidth="1"/>
    <col min="4" max="4" width="11.33203125" style="68" customWidth="1"/>
    <col min="5" max="16384" width="8.88671875" style="68"/>
  </cols>
  <sheetData>
    <row r="1" spans="1:4" ht="28.8" x14ac:dyDescent="0.3">
      <c r="A1" s="66"/>
      <c r="B1" s="67" t="s">
        <v>114</v>
      </c>
      <c r="C1" s="67" t="s">
        <v>115</v>
      </c>
      <c r="D1" s="67" t="s">
        <v>116</v>
      </c>
    </row>
    <row r="2" spans="1:4" x14ac:dyDescent="0.3">
      <c r="A2" s="67">
        <v>1</v>
      </c>
      <c r="B2" s="67" t="s">
        <v>117</v>
      </c>
      <c r="C2" s="67">
        <v>128</v>
      </c>
      <c r="D2" s="67">
        <v>119</v>
      </c>
    </row>
    <row r="3" spans="1:4" x14ac:dyDescent="0.3">
      <c r="A3" s="67">
        <v>2</v>
      </c>
      <c r="B3" s="36" t="s">
        <v>118</v>
      </c>
      <c r="C3" s="67">
        <v>16</v>
      </c>
      <c r="D3" s="67">
        <v>16</v>
      </c>
    </row>
    <row r="4" spans="1:4" ht="28.8" x14ac:dyDescent="0.3">
      <c r="A4" s="67">
        <v>3</v>
      </c>
      <c r="B4" s="36" t="s">
        <v>119</v>
      </c>
      <c r="C4" s="67">
        <v>18</v>
      </c>
      <c r="D4" s="67">
        <v>10</v>
      </c>
    </row>
    <row r="5" spans="1:4" x14ac:dyDescent="0.3">
      <c r="A5" s="67">
        <v>4</v>
      </c>
      <c r="B5" s="36" t="s">
        <v>120</v>
      </c>
      <c r="C5" s="67">
        <v>20</v>
      </c>
      <c r="D5" s="67">
        <v>20</v>
      </c>
    </row>
    <row r="6" spans="1:4" ht="28.8" x14ac:dyDescent="0.3">
      <c r="A6" s="67">
        <v>5</v>
      </c>
      <c r="B6" s="36" t="s">
        <v>121</v>
      </c>
      <c r="C6" s="67">
        <v>8</v>
      </c>
      <c r="D6" s="67">
        <v>8</v>
      </c>
    </row>
    <row r="7" spans="1:4" x14ac:dyDescent="0.3">
      <c r="A7" s="67">
        <v>6</v>
      </c>
      <c r="B7" s="36" t="s">
        <v>122</v>
      </c>
      <c r="C7" s="67">
        <v>36</v>
      </c>
      <c r="D7" s="67">
        <v>36</v>
      </c>
    </row>
    <row r="8" spans="1:4" x14ac:dyDescent="0.3">
      <c r="A8" s="67">
        <v>7</v>
      </c>
      <c r="B8" s="36" t="s">
        <v>123</v>
      </c>
      <c r="C8" s="67">
        <v>10</v>
      </c>
      <c r="D8" s="67">
        <v>10</v>
      </c>
    </row>
    <row r="9" spans="1:4" ht="28.8" x14ac:dyDescent="0.3">
      <c r="A9" s="67">
        <v>8</v>
      </c>
      <c r="B9" s="36" t="s">
        <v>124</v>
      </c>
      <c r="C9" s="67">
        <v>8</v>
      </c>
      <c r="D9" s="67">
        <v>8</v>
      </c>
    </row>
    <row r="10" spans="1:4" ht="28.8" x14ac:dyDescent="0.3">
      <c r="A10" s="67">
        <v>9</v>
      </c>
      <c r="B10" s="36" t="s">
        <v>125</v>
      </c>
      <c r="C10" s="67">
        <v>8</v>
      </c>
      <c r="D10" s="67">
        <v>8</v>
      </c>
    </row>
    <row r="11" spans="1:4" x14ac:dyDescent="0.3">
      <c r="A11" s="67">
        <v>10</v>
      </c>
      <c r="B11" s="36" t="s">
        <v>126</v>
      </c>
      <c r="C11" s="67">
        <v>8</v>
      </c>
      <c r="D11" s="67">
        <v>10</v>
      </c>
    </row>
    <row r="12" spans="1:4" ht="28.8" x14ac:dyDescent="0.3">
      <c r="A12" s="67">
        <v>11</v>
      </c>
      <c r="B12" s="36" t="s">
        <v>57</v>
      </c>
      <c r="C12" s="67">
        <v>25</v>
      </c>
      <c r="D12" s="67">
        <v>25</v>
      </c>
    </row>
    <row r="13" spans="1:4" ht="28.8" x14ac:dyDescent="0.3">
      <c r="A13" s="67">
        <v>12</v>
      </c>
      <c r="B13" s="36" t="s">
        <v>127</v>
      </c>
      <c r="C13" s="67">
        <v>10</v>
      </c>
      <c r="D13" s="67">
        <v>10</v>
      </c>
    </row>
    <row r="14" spans="1:4" ht="28.8" x14ac:dyDescent="0.3">
      <c r="A14" s="67">
        <v>13</v>
      </c>
      <c r="B14" s="36" t="s">
        <v>128</v>
      </c>
      <c r="C14" s="67">
        <v>8</v>
      </c>
      <c r="D14" s="67">
        <v>8</v>
      </c>
    </row>
    <row r="15" spans="1:4" ht="28.8" x14ac:dyDescent="0.3">
      <c r="A15" s="67">
        <v>14</v>
      </c>
      <c r="B15" s="36" t="s">
        <v>56</v>
      </c>
      <c r="C15" s="67">
        <v>16</v>
      </c>
      <c r="D15" s="67">
        <v>16</v>
      </c>
    </row>
    <row r="16" spans="1:4" ht="28.8" x14ac:dyDescent="0.3">
      <c r="A16" s="67">
        <v>15</v>
      </c>
      <c r="B16" s="36" t="s">
        <v>68</v>
      </c>
      <c r="C16" s="67">
        <v>8</v>
      </c>
      <c r="D16" s="67">
        <v>8</v>
      </c>
    </row>
    <row r="17" spans="1:4" ht="28.8" x14ac:dyDescent="0.3">
      <c r="A17" s="67">
        <v>16</v>
      </c>
      <c r="B17" s="36" t="s">
        <v>129</v>
      </c>
      <c r="C17" s="67">
        <v>16</v>
      </c>
      <c r="D17" s="67">
        <v>16</v>
      </c>
    </row>
    <row r="18" spans="1:4" ht="28.8" x14ac:dyDescent="0.3">
      <c r="A18" s="67">
        <v>17</v>
      </c>
      <c r="B18" s="36" t="s">
        <v>130</v>
      </c>
      <c r="C18" s="67">
        <v>8</v>
      </c>
      <c r="D18" s="67">
        <v>8</v>
      </c>
    </row>
    <row r="19" spans="1:4" ht="28.8" x14ac:dyDescent="0.3">
      <c r="A19" s="67">
        <v>18</v>
      </c>
      <c r="B19" s="36" t="s">
        <v>131</v>
      </c>
      <c r="C19" s="67">
        <v>8</v>
      </c>
      <c r="D19" s="67">
        <v>8</v>
      </c>
    </row>
    <row r="20" spans="1:4" x14ac:dyDescent="0.3">
      <c r="A20" s="67">
        <v>19</v>
      </c>
      <c r="B20" s="36" t="s">
        <v>51</v>
      </c>
      <c r="C20" s="67">
        <v>10</v>
      </c>
      <c r="D20" s="67">
        <v>10</v>
      </c>
    </row>
    <row r="21" spans="1:4" ht="28.8" x14ac:dyDescent="0.3">
      <c r="A21" s="67">
        <v>20</v>
      </c>
      <c r="B21" s="36" t="s">
        <v>132</v>
      </c>
      <c r="C21" s="67">
        <v>30</v>
      </c>
      <c r="D21" s="67">
        <v>38</v>
      </c>
    </row>
    <row r="22" spans="1:4" x14ac:dyDescent="0.3">
      <c r="A22" s="67">
        <v>21</v>
      </c>
      <c r="B22" s="36" t="s">
        <v>133</v>
      </c>
      <c r="C22" s="67">
        <v>8</v>
      </c>
      <c r="D22" s="67">
        <v>8</v>
      </c>
    </row>
    <row r="23" spans="1:4" ht="28.8" x14ac:dyDescent="0.3">
      <c r="A23" s="67" t="s">
        <v>35</v>
      </c>
      <c r="B23" s="67"/>
      <c r="C23" s="67">
        <f>SUM(C2:C22)</f>
        <v>407</v>
      </c>
      <c r="D23" s="67">
        <f>SUM(D2:D22)</f>
        <v>400</v>
      </c>
    </row>
    <row r="24" spans="1:4" x14ac:dyDescent="0.3">
      <c r="B24" s="68" t="s">
        <v>134</v>
      </c>
      <c r="C24" s="11">
        <f>C23*17*365</f>
        <v>2525435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7" sqref="D7"/>
    </sheetView>
  </sheetViews>
  <sheetFormatPr defaultRowHeight="14.4" x14ac:dyDescent="0.3"/>
  <cols>
    <col min="1" max="1" width="15" style="76" customWidth="1"/>
    <col min="4" max="4" width="10.109375" style="26" customWidth="1"/>
  </cols>
  <sheetData>
    <row r="1" spans="1:4" x14ac:dyDescent="0.3">
      <c r="A1" s="76" t="s">
        <v>141</v>
      </c>
      <c r="B1">
        <f>30+30</f>
        <v>60</v>
      </c>
      <c r="C1">
        <v>9</v>
      </c>
      <c r="D1" s="26">
        <f>275*B1*C1</f>
        <v>148500</v>
      </c>
    </row>
    <row r="2" spans="1:4" x14ac:dyDescent="0.3">
      <c r="A2" s="76" t="s">
        <v>142</v>
      </c>
      <c r="B2">
        <f>10+10</f>
        <v>20</v>
      </c>
      <c r="C2">
        <v>17</v>
      </c>
      <c r="D2" s="26">
        <f>10*275*C2+10*200*C2</f>
        <v>80750</v>
      </c>
    </row>
    <row r="3" spans="1:4" x14ac:dyDescent="0.3">
      <c r="A3" s="76" t="s">
        <v>143</v>
      </c>
      <c r="B3">
        <f>20+15</f>
        <v>35</v>
      </c>
      <c r="C3">
        <v>20</v>
      </c>
      <c r="D3" s="26">
        <f>275*B3*C3</f>
        <v>192500</v>
      </c>
    </row>
    <row r="4" spans="1:4" x14ac:dyDescent="0.3">
      <c r="D4" s="26">
        <f>D1+D2+D3</f>
        <v>421750</v>
      </c>
    </row>
    <row r="7" spans="1:4" ht="28.8" x14ac:dyDescent="0.3">
      <c r="A7" s="76" t="s">
        <v>144</v>
      </c>
      <c r="B7">
        <v>2800</v>
      </c>
      <c r="C7">
        <v>3</v>
      </c>
      <c r="D7" s="26">
        <f>B7*C7*9</f>
        <v>75600</v>
      </c>
    </row>
    <row r="10" spans="1:4" x14ac:dyDescent="0.3">
      <c r="D10" s="26">
        <f>D4+D7</f>
        <v>497350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4.4" x14ac:dyDescent="0.3"/>
  <cols>
    <col min="2" max="2" width="8.88671875" style="25"/>
  </cols>
  <sheetData>
    <row r="1" spans="1:2" x14ac:dyDescent="0.3">
      <c r="A1">
        <v>126</v>
      </c>
      <c r="B1" s="25">
        <f>A1*16*90</f>
        <v>181440</v>
      </c>
    </row>
    <row r="2" spans="1:2" x14ac:dyDescent="0.3">
      <c r="A2">
        <v>160</v>
      </c>
      <c r="B2" s="25">
        <f>245*A2*16</f>
        <v>627200</v>
      </c>
    </row>
    <row r="3" spans="1:2" x14ac:dyDescent="0.3">
      <c r="B3" s="25">
        <f>B1+B2</f>
        <v>808640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3" sqref="C3"/>
    </sheetView>
  </sheetViews>
  <sheetFormatPr defaultRowHeight="14.4" x14ac:dyDescent="0.3"/>
  <cols>
    <col min="1" max="1" width="8.88671875" style="23"/>
    <col min="2" max="2" width="11.88671875" style="23" customWidth="1"/>
    <col min="3" max="3" width="15.77734375" style="23" customWidth="1"/>
    <col min="4" max="16384" width="8.88671875" style="23"/>
  </cols>
  <sheetData>
    <row r="1" spans="1:6" ht="28.8" x14ac:dyDescent="0.3">
      <c r="A1" s="24"/>
      <c r="B1" s="24" t="s">
        <v>34</v>
      </c>
      <c r="C1" s="24" t="s">
        <v>138</v>
      </c>
      <c r="E1" s="23" t="s">
        <v>139</v>
      </c>
    </row>
    <row r="2" spans="1:6" x14ac:dyDescent="0.3">
      <c r="A2" s="24"/>
      <c r="B2" s="24">
        <v>50</v>
      </c>
      <c r="C2" s="24">
        <v>208</v>
      </c>
      <c r="E2" s="23">
        <v>13</v>
      </c>
      <c r="F2" s="23">
        <v>16</v>
      </c>
    </row>
    <row r="3" spans="1:6" x14ac:dyDescent="0.3">
      <c r="A3" s="24" t="s">
        <v>35</v>
      </c>
      <c r="B3" s="24"/>
      <c r="C3" s="21">
        <f>B2*C2*11</f>
        <v>114400</v>
      </c>
      <c r="E3" s="23">
        <f>E2*F2</f>
        <v>208</v>
      </c>
    </row>
    <row r="4" spans="1:6" x14ac:dyDescent="0.3">
      <c r="A4" s="24"/>
      <c r="B4" s="24"/>
      <c r="C4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2" sqref="C2"/>
    </sheetView>
  </sheetViews>
  <sheetFormatPr defaultRowHeight="14.4" x14ac:dyDescent="0.3"/>
  <cols>
    <col min="1" max="1" width="8.88671875" style="17"/>
    <col min="2" max="3" width="14.33203125" style="17" customWidth="1"/>
    <col min="4" max="16384" width="8.88671875" style="17"/>
  </cols>
  <sheetData>
    <row r="1" spans="1:3" x14ac:dyDescent="0.3">
      <c r="A1" s="18"/>
      <c r="B1" s="3" t="s">
        <v>33</v>
      </c>
      <c r="C1" s="3" t="s">
        <v>34</v>
      </c>
    </row>
    <row r="2" spans="1:3" ht="27.6" x14ac:dyDescent="0.3">
      <c r="A2" s="18" t="s">
        <v>32</v>
      </c>
      <c r="B2" s="3">
        <v>80</v>
      </c>
      <c r="C2" s="3">
        <v>1000</v>
      </c>
    </row>
    <row r="3" spans="1:3" x14ac:dyDescent="0.3">
      <c r="A3" s="19" t="s">
        <v>35</v>
      </c>
      <c r="B3" s="20"/>
      <c r="C3" s="21">
        <f>B2*C2*12</f>
        <v>960000</v>
      </c>
    </row>
    <row r="4" spans="1:3" x14ac:dyDescent="0.3">
      <c r="A4" s="16"/>
    </row>
    <row r="5" spans="1:3" x14ac:dyDescent="0.3">
      <c r="A5" s="16"/>
    </row>
    <row r="6" spans="1:3" x14ac:dyDescent="0.3">
      <c r="A6" s="16"/>
    </row>
    <row r="7" spans="1:3" x14ac:dyDescent="0.3">
      <c r="A7" s="16"/>
    </row>
    <row r="8" spans="1:3" x14ac:dyDescent="0.3">
      <c r="A8" s="16"/>
    </row>
    <row r="9" spans="1:3" x14ac:dyDescent="0.3">
      <c r="A9" s="16"/>
    </row>
    <row r="10" spans="1:3" x14ac:dyDescent="0.3">
      <c r="A10" s="16"/>
    </row>
    <row r="11" spans="1:3" x14ac:dyDescent="0.3">
      <c r="A11" s="16"/>
    </row>
    <row r="12" spans="1:3" x14ac:dyDescent="0.3">
      <c r="A12" s="16"/>
    </row>
    <row r="13" spans="1:3" x14ac:dyDescent="0.3">
      <c r="A13" s="16"/>
    </row>
    <row r="14" spans="1:3" x14ac:dyDescent="0.3">
      <c r="A14" s="16"/>
    </row>
    <row r="15" spans="1:3" x14ac:dyDescent="0.3">
      <c r="A15" s="16"/>
    </row>
    <row r="16" spans="1:3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4.4" x14ac:dyDescent="0.3"/>
  <cols>
    <col min="1" max="1" width="8.88671875" style="23"/>
    <col min="2" max="2" width="13.88671875" style="23" customWidth="1"/>
    <col min="3" max="3" width="14.44140625" style="23" customWidth="1"/>
    <col min="4" max="4" width="8.88671875" style="23"/>
    <col min="5" max="5" width="20.44140625" style="23" customWidth="1"/>
    <col min="6" max="16384" width="8.88671875" style="23"/>
  </cols>
  <sheetData>
    <row r="1" spans="1:5" ht="44.4" customHeight="1" x14ac:dyDescent="0.3">
      <c r="B1" s="24" t="s">
        <v>34</v>
      </c>
      <c r="C1" s="24" t="s">
        <v>33</v>
      </c>
      <c r="D1" s="37">
        <v>0.25</v>
      </c>
      <c r="E1" s="24" t="s">
        <v>104</v>
      </c>
    </row>
    <row r="2" spans="1:5" x14ac:dyDescent="0.3">
      <c r="B2" s="24">
        <v>200</v>
      </c>
      <c r="C2" s="24">
        <v>144</v>
      </c>
      <c r="D2" s="24">
        <f>C2/4</f>
        <v>36</v>
      </c>
      <c r="E2" s="24">
        <f>D2*40*12/144</f>
        <v>120</v>
      </c>
    </row>
    <row r="3" spans="1:5" x14ac:dyDescent="0.3">
      <c r="A3" s="23" t="s">
        <v>35</v>
      </c>
      <c r="B3" s="24">
        <f>B2+E2</f>
        <v>320</v>
      </c>
      <c r="C3" s="21">
        <f>B2*C2*12</f>
        <v>345600</v>
      </c>
      <c r="D3" s="24"/>
      <c r="E3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11" sqref="F11"/>
    </sheetView>
  </sheetViews>
  <sheetFormatPr defaultRowHeight="14.4" x14ac:dyDescent="0.3"/>
  <cols>
    <col min="1" max="2" width="8.88671875" style="41"/>
    <col min="3" max="3" width="10.77734375" style="25" customWidth="1"/>
    <col min="4" max="4" width="10.77734375" customWidth="1"/>
    <col min="5" max="5" width="15.77734375" style="25" customWidth="1"/>
    <col min="6" max="6" width="15.21875" style="25" customWidth="1"/>
  </cols>
  <sheetData>
    <row r="1" spans="1:6" ht="46.2" customHeight="1" x14ac:dyDescent="0.3">
      <c r="A1" s="39" t="s">
        <v>34</v>
      </c>
      <c r="B1" s="39" t="s">
        <v>36</v>
      </c>
      <c r="C1" s="21" t="s">
        <v>33</v>
      </c>
      <c r="D1" s="37">
        <v>0.1</v>
      </c>
      <c r="E1" s="21" t="s">
        <v>105</v>
      </c>
      <c r="F1" s="21"/>
    </row>
    <row r="2" spans="1:6" x14ac:dyDescent="0.3">
      <c r="A2" s="40">
        <v>4500</v>
      </c>
      <c r="B2" s="40">
        <v>7</v>
      </c>
      <c r="C2" s="21">
        <v>308</v>
      </c>
      <c r="D2" s="38">
        <f>C2/10</f>
        <v>30.8</v>
      </c>
      <c r="E2" s="27">
        <f>D2*900/C2</f>
        <v>90</v>
      </c>
      <c r="F2" s="27">
        <f>A2*C2</f>
        <v>1386000</v>
      </c>
    </row>
    <row r="3" spans="1:6" x14ac:dyDescent="0.3">
      <c r="A3" s="40">
        <v>7</v>
      </c>
      <c r="B3" s="40">
        <v>12</v>
      </c>
      <c r="C3" s="21">
        <v>250</v>
      </c>
      <c r="D3" s="38"/>
      <c r="E3" s="27"/>
      <c r="F3" s="27">
        <f>A3*B3*C3</f>
        <v>21000</v>
      </c>
    </row>
    <row r="4" spans="1:6" x14ac:dyDescent="0.3">
      <c r="A4" s="40">
        <f>A2+E2</f>
        <v>4590</v>
      </c>
      <c r="B4" s="40"/>
      <c r="C4" s="21"/>
      <c r="D4" s="38"/>
      <c r="E4" s="27"/>
      <c r="F4" s="27">
        <f>F2+F3</f>
        <v>1407000</v>
      </c>
    </row>
    <row r="7" spans="1:6" x14ac:dyDescent="0.3">
      <c r="B7" s="42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25" sqref="A25:XFD25"/>
    </sheetView>
  </sheetViews>
  <sheetFormatPr defaultRowHeight="14.4" x14ac:dyDescent="0.3"/>
  <cols>
    <col min="1" max="1" width="3.21875" style="2" customWidth="1"/>
    <col min="2" max="2" width="16.6640625" style="2" customWidth="1"/>
    <col min="3" max="3" width="12.5546875" style="1" customWidth="1"/>
    <col min="4" max="4" width="9.88671875" style="1" customWidth="1"/>
    <col min="5" max="5" width="12.21875" style="1" customWidth="1"/>
    <col min="6" max="6" width="12.44140625" style="10" customWidth="1"/>
    <col min="7" max="16384" width="8.88671875" style="2"/>
  </cols>
  <sheetData>
    <row r="1" spans="1:6" ht="28.8" x14ac:dyDescent="0.3">
      <c r="A1" s="45" t="s">
        <v>44</v>
      </c>
      <c r="B1" s="45" t="s">
        <v>45</v>
      </c>
      <c r="C1" s="45" t="s">
        <v>70</v>
      </c>
      <c r="D1" s="45" t="s">
        <v>17</v>
      </c>
      <c r="E1" s="45" t="s">
        <v>18</v>
      </c>
      <c r="F1" s="9" t="s">
        <v>106</v>
      </c>
    </row>
    <row r="2" spans="1:6" x14ac:dyDescent="0.3">
      <c r="A2" s="50">
        <v>1</v>
      </c>
      <c r="B2" s="18" t="s">
        <v>46</v>
      </c>
      <c r="C2" s="18">
        <v>200</v>
      </c>
      <c r="D2" s="18">
        <v>180</v>
      </c>
      <c r="E2" s="18">
        <v>276</v>
      </c>
      <c r="F2" s="46">
        <v>50</v>
      </c>
    </row>
    <row r="3" spans="1:6" x14ac:dyDescent="0.3">
      <c r="A3" s="50">
        <v>2</v>
      </c>
      <c r="B3" s="18" t="s">
        <v>47</v>
      </c>
      <c r="C3" s="18">
        <v>50</v>
      </c>
      <c r="D3" s="18">
        <v>60</v>
      </c>
      <c r="E3" s="18">
        <v>44</v>
      </c>
      <c r="F3" s="46"/>
    </row>
    <row r="4" spans="1:6" x14ac:dyDescent="0.3">
      <c r="A4" s="50">
        <v>3</v>
      </c>
      <c r="B4" s="18" t="s">
        <v>48</v>
      </c>
      <c r="C4" s="18">
        <v>24</v>
      </c>
      <c r="D4" s="18">
        <v>14</v>
      </c>
      <c r="E4" s="18">
        <v>38</v>
      </c>
      <c r="F4" s="46"/>
    </row>
    <row r="5" spans="1:6" x14ac:dyDescent="0.3">
      <c r="A5" s="50">
        <v>4</v>
      </c>
      <c r="B5" s="18" t="s">
        <v>49</v>
      </c>
      <c r="C5" s="18" t="s">
        <v>50</v>
      </c>
      <c r="D5" s="18">
        <v>46</v>
      </c>
      <c r="E5" s="18"/>
      <c r="F5" s="46"/>
    </row>
    <row r="6" spans="1:6" ht="34.799999999999997" customHeight="1" x14ac:dyDescent="0.3">
      <c r="A6" s="50">
        <v>5</v>
      </c>
      <c r="B6" s="18" t="s">
        <v>51</v>
      </c>
      <c r="C6" s="18">
        <v>60</v>
      </c>
      <c r="D6" s="18">
        <v>30</v>
      </c>
      <c r="E6" s="18"/>
      <c r="F6" s="46"/>
    </row>
    <row r="7" spans="1:6" ht="34.200000000000003" customHeight="1" x14ac:dyDescent="0.3">
      <c r="A7" s="50">
        <v>6</v>
      </c>
      <c r="B7" s="18" t="s">
        <v>52</v>
      </c>
      <c r="C7" s="18" t="s">
        <v>50</v>
      </c>
      <c r="D7" s="18">
        <v>15</v>
      </c>
      <c r="E7" s="18"/>
      <c r="F7" s="46"/>
    </row>
    <row r="8" spans="1:6" ht="34.200000000000003" customHeight="1" x14ac:dyDescent="0.3">
      <c r="A8" s="50">
        <v>7</v>
      </c>
      <c r="B8" s="18" t="s">
        <v>53</v>
      </c>
      <c r="C8" s="18" t="s">
        <v>50</v>
      </c>
      <c r="D8" s="18">
        <v>25</v>
      </c>
      <c r="E8" s="18"/>
      <c r="F8" s="46"/>
    </row>
    <row r="9" spans="1:6" ht="35.4" customHeight="1" x14ac:dyDescent="0.3">
      <c r="A9" s="50">
        <v>8</v>
      </c>
      <c r="B9" s="18" t="s">
        <v>54</v>
      </c>
      <c r="C9" s="18">
        <v>35</v>
      </c>
      <c r="D9" s="18">
        <v>15</v>
      </c>
      <c r="E9" s="18"/>
      <c r="F9" s="46"/>
    </row>
    <row r="10" spans="1:6" ht="33" customHeight="1" x14ac:dyDescent="0.3">
      <c r="A10" s="50">
        <v>9</v>
      </c>
      <c r="B10" s="18" t="s">
        <v>55</v>
      </c>
      <c r="C10" s="18" t="s">
        <v>50</v>
      </c>
      <c r="D10" s="18">
        <v>40</v>
      </c>
      <c r="E10" s="18"/>
      <c r="F10" s="46"/>
    </row>
    <row r="11" spans="1:6" ht="36" customHeight="1" x14ac:dyDescent="0.3">
      <c r="A11" s="50">
        <v>10</v>
      </c>
      <c r="B11" s="18" t="s">
        <v>56</v>
      </c>
      <c r="C11" s="18">
        <v>30</v>
      </c>
      <c r="D11" s="18">
        <v>25</v>
      </c>
      <c r="E11" s="18"/>
      <c r="F11" s="46"/>
    </row>
    <row r="12" spans="1:6" ht="37.799999999999997" customHeight="1" x14ac:dyDescent="0.3">
      <c r="A12" s="50">
        <v>11</v>
      </c>
      <c r="B12" s="18" t="s">
        <v>57</v>
      </c>
      <c r="C12" s="18" t="s">
        <v>50</v>
      </c>
      <c r="D12" s="18">
        <v>20</v>
      </c>
      <c r="E12" s="18">
        <v>31</v>
      </c>
      <c r="F12" s="46"/>
    </row>
    <row r="13" spans="1:6" ht="34.200000000000003" customHeight="1" x14ac:dyDescent="0.3">
      <c r="A13" s="50">
        <v>12</v>
      </c>
      <c r="B13" s="18" t="s">
        <v>58</v>
      </c>
      <c r="C13" s="18" t="s">
        <v>50</v>
      </c>
      <c r="D13" s="18"/>
      <c r="E13" s="18">
        <v>33</v>
      </c>
      <c r="F13" s="46"/>
    </row>
    <row r="14" spans="1:6" x14ac:dyDescent="0.3">
      <c r="A14" s="50">
        <v>13</v>
      </c>
      <c r="B14" s="18" t="s">
        <v>59</v>
      </c>
      <c r="C14" s="18" t="s">
        <v>50</v>
      </c>
      <c r="D14" s="18">
        <v>25</v>
      </c>
      <c r="E14" s="18"/>
      <c r="F14" s="46"/>
    </row>
    <row r="15" spans="1:6" x14ac:dyDescent="0.3">
      <c r="A15" s="50">
        <v>14</v>
      </c>
      <c r="B15" s="18" t="s">
        <v>60</v>
      </c>
      <c r="C15" s="18" t="s">
        <v>50</v>
      </c>
      <c r="D15" s="18">
        <v>15</v>
      </c>
      <c r="E15" s="18"/>
      <c r="F15" s="46"/>
    </row>
    <row r="16" spans="1:6" x14ac:dyDescent="0.3">
      <c r="A16" s="50">
        <v>15</v>
      </c>
      <c r="B16" s="18" t="s">
        <v>61</v>
      </c>
      <c r="C16" s="18">
        <v>40</v>
      </c>
      <c r="D16" s="18">
        <v>14</v>
      </c>
      <c r="E16" s="18"/>
      <c r="F16" s="46"/>
    </row>
    <row r="17" spans="1:6" x14ac:dyDescent="0.3">
      <c r="A17" s="50">
        <v>16</v>
      </c>
      <c r="B17" s="18" t="s">
        <v>62</v>
      </c>
      <c r="C17" s="18" t="s">
        <v>50</v>
      </c>
      <c r="D17" s="18">
        <v>15</v>
      </c>
      <c r="E17" s="18"/>
      <c r="F17" s="46"/>
    </row>
    <row r="18" spans="1:6" x14ac:dyDescent="0.3">
      <c r="A18" s="50">
        <v>17</v>
      </c>
      <c r="B18" s="18" t="s">
        <v>63</v>
      </c>
      <c r="C18" s="18" t="s">
        <v>50</v>
      </c>
      <c r="D18" s="18">
        <v>20</v>
      </c>
      <c r="E18" s="18"/>
      <c r="F18" s="46"/>
    </row>
    <row r="19" spans="1:6" x14ac:dyDescent="0.3">
      <c r="A19" s="50">
        <v>18</v>
      </c>
      <c r="B19" s="18" t="s">
        <v>64</v>
      </c>
      <c r="C19" s="18" t="s">
        <v>50</v>
      </c>
      <c r="D19" s="18">
        <v>20</v>
      </c>
      <c r="E19" s="18"/>
      <c r="F19" s="46"/>
    </row>
    <row r="20" spans="1:6" ht="32.4" customHeight="1" x14ac:dyDescent="0.3">
      <c r="A20" s="50">
        <v>19</v>
      </c>
      <c r="B20" s="18" t="s">
        <v>65</v>
      </c>
      <c r="C20" s="18">
        <v>30</v>
      </c>
      <c r="D20" s="18" t="s">
        <v>50</v>
      </c>
      <c r="E20" s="18"/>
      <c r="F20" s="46"/>
    </row>
    <row r="21" spans="1:6" ht="34.799999999999997" customHeight="1" x14ac:dyDescent="0.3">
      <c r="A21" s="50">
        <v>20</v>
      </c>
      <c r="B21" s="18" t="s">
        <v>66</v>
      </c>
      <c r="C21" s="18">
        <v>24</v>
      </c>
      <c r="D21" s="18" t="s">
        <v>50</v>
      </c>
      <c r="E21" s="18"/>
      <c r="F21" s="46"/>
    </row>
    <row r="22" spans="1:6" ht="37.200000000000003" customHeight="1" x14ac:dyDescent="0.3">
      <c r="A22" s="50">
        <v>21</v>
      </c>
      <c r="B22" s="18" t="s">
        <v>67</v>
      </c>
      <c r="C22" s="18">
        <v>45</v>
      </c>
      <c r="D22" s="18" t="s">
        <v>50</v>
      </c>
      <c r="E22" s="18"/>
      <c r="F22" s="46"/>
    </row>
    <row r="23" spans="1:6" ht="30.6" customHeight="1" x14ac:dyDescent="0.3">
      <c r="A23" s="50">
        <v>22</v>
      </c>
      <c r="B23" s="18" t="s">
        <v>68</v>
      </c>
      <c r="C23" s="18">
        <v>24</v>
      </c>
      <c r="D23" s="18" t="s">
        <v>50</v>
      </c>
      <c r="E23" s="18"/>
      <c r="F23" s="46"/>
    </row>
    <row r="24" spans="1:6" ht="33" customHeight="1" x14ac:dyDescent="0.3">
      <c r="A24" s="50">
        <v>23</v>
      </c>
      <c r="B24" s="18" t="s">
        <v>69</v>
      </c>
      <c r="C24" s="18">
        <v>10</v>
      </c>
      <c r="D24" s="18" t="s">
        <v>50</v>
      </c>
      <c r="E24" s="18"/>
      <c r="F24" s="46"/>
    </row>
    <row r="25" spans="1:6" x14ac:dyDescent="0.3">
      <c r="A25" s="50">
        <v>25</v>
      </c>
      <c r="B25" s="18" t="s">
        <v>71</v>
      </c>
      <c r="C25" s="52"/>
      <c r="D25" s="52">
        <v>30</v>
      </c>
      <c r="E25" s="53"/>
      <c r="F25" s="46"/>
    </row>
    <row r="26" spans="1:6" x14ac:dyDescent="0.3">
      <c r="A26" s="50">
        <v>26</v>
      </c>
      <c r="B26" s="18" t="s">
        <v>72</v>
      </c>
      <c r="C26" s="54"/>
      <c r="D26" s="54">
        <v>20</v>
      </c>
      <c r="E26" s="54"/>
      <c r="F26" s="46"/>
    </row>
    <row r="27" spans="1:6" x14ac:dyDescent="0.3">
      <c r="A27" s="50"/>
      <c r="B27" s="18" t="s">
        <v>140</v>
      </c>
      <c r="C27" s="54"/>
      <c r="D27" s="54">
        <v>20</v>
      </c>
      <c r="E27" s="54"/>
      <c r="F27" s="46"/>
    </row>
    <row r="28" spans="1:6" x14ac:dyDescent="0.3">
      <c r="A28" s="50">
        <v>27</v>
      </c>
      <c r="B28" s="18" t="s">
        <v>73</v>
      </c>
      <c r="C28" s="54"/>
      <c r="D28" s="54">
        <v>19</v>
      </c>
      <c r="E28" s="54"/>
      <c r="F28" s="46"/>
    </row>
    <row r="29" spans="1:6" ht="27.6" x14ac:dyDescent="0.3">
      <c r="A29" s="51"/>
      <c r="B29" s="18" t="s">
        <v>74</v>
      </c>
      <c r="C29" s="3">
        <f>SUM(C2:C28)</f>
        <v>572</v>
      </c>
      <c r="D29" s="3">
        <f t="shared" ref="D29:F29" si="0">SUM(D2:D28)</f>
        <v>668</v>
      </c>
      <c r="E29" s="3">
        <f t="shared" si="0"/>
        <v>422</v>
      </c>
      <c r="F29" s="47">
        <f t="shared" si="0"/>
        <v>50</v>
      </c>
    </row>
    <row r="30" spans="1:6" ht="15" thickBot="1" x14ac:dyDescent="0.35">
      <c r="A30" s="55"/>
      <c r="B30" s="56" t="s">
        <v>75</v>
      </c>
      <c r="C30" s="48">
        <f>C29*6*220</f>
        <v>755040</v>
      </c>
      <c r="D30" s="48">
        <f>D29*11*220</f>
        <v>1616560</v>
      </c>
      <c r="E30" s="48">
        <f>E29*11*220</f>
        <v>1021240</v>
      </c>
      <c r="F30" s="49">
        <f>F29*18*177</f>
        <v>159300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2" sqref="B2"/>
    </sheetView>
  </sheetViews>
  <sheetFormatPr defaultRowHeight="14.4" x14ac:dyDescent="0.3"/>
  <cols>
    <col min="1" max="1" width="14.77734375" style="1" customWidth="1"/>
    <col min="2" max="2" width="11.88671875" style="1" customWidth="1"/>
    <col min="3" max="3" width="14.88671875" style="1" customWidth="1"/>
    <col min="4" max="16384" width="8.88671875" style="1"/>
  </cols>
  <sheetData>
    <row r="1" spans="1:4" x14ac:dyDescent="0.3">
      <c r="A1" s="3"/>
      <c r="B1" s="3" t="s">
        <v>107</v>
      </c>
      <c r="C1" s="3" t="s">
        <v>27</v>
      </c>
      <c r="D1" s="3"/>
    </row>
    <row r="2" spans="1:4" x14ac:dyDescent="0.3">
      <c r="A2" s="3" t="s">
        <v>34</v>
      </c>
      <c r="B2" s="3">
        <v>400</v>
      </c>
      <c r="C2" s="3">
        <v>35</v>
      </c>
      <c r="D2" s="3"/>
    </row>
    <row r="3" spans="1:4" x14ac:dyDescent="0.3">
      <c r="A3" s="3" t="s">
        <v>33</v>
      </c>
      <c r="B3" s="3">
        <v>300</v>
      </c>
      <c r="C3" s="3">
        <v>3480</v>
      </c>
      <c r="D3" s="3"/>
    </row>
    <row r="4" spans="1:4" x14ac:dyDescent="0.3">
      <c r="A4" s="3" t="s">
        <v>35</v>
      </c>
      <c r="B4" s="9">
        <f>B2*B3</f>
        <v>120000</v>
      </c>
      <c r="C4" s="9">
        <f>C2*C3</f>
        <v>121800</v>
      </c>
      <c r="D4" s="9">
        <f>B4+C4</f>
        <v>241800</v>
      </c>
    </row>
    <row r="8" spans="1:4" x14ac:dyDescent="0.3">
      <c r="B8" s="1" t="s">
        <v>34</v>
      </c>
      <c r="C8" s="1" t="s">
        <v>33</v>
      </c>
    </row>
    <row r="9" spans="1:4" ht="28.8" x14ac:dyDescent="0.3">
      <c r="A9" s="1" t="s">
        <v>113</v>
      </c>
      <c r="B9" s="1">
        <v>1000</v>
      </c>
      <c r="C9" s="1">
        <v>450</v>
      </c>
    </row>
    <row r="10" spans="1:4" x14ac:dyDescent="0.3">
      <c r="A10" s="1" t="s">
        <v>35</v>
      </c>
      <c r="C10" s="10">
        <f>B9*C9</f>
        <v>450000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6" zoomScaleNormal="100" workbookViewId="0">
      <selection activeCell="D19" sqref="D19"/>
    </sheetView>
  </sheetViews>
  <sheetFormatPr defaultRowHeight="14.4" x14ac:dyDescent="0.3"/>
  <cols>
    <col min="1" max="1" width="27.6640625" customWidth="1"/>
    <col min="2" max="2" width="12.88671875" customWidth="1"/>
    <col min="3" max="3" width="14.77734375" customWidth="1"/>
    <col min="4" max="4" width="10" customWidth="1"/>
    <col min="5" max="5" width="16.21875" style="61" customWidth="1"/>
  </cols>
  <sheetData>
    <row r="1" spans="1:5" ht="41.4" x14ac:dyDescent="0.3">
      <c r="A1" s="30" t="s">
        <v>76</v>
      </c>
      <c r="B1" s="31" t="s">
        <v>77</v>
      </c>
      <c r="C1" s="71" t="s">
        <v>78</v>
      </c>
      <c r="D1" s="73" t="s">
        <v>34</v>
      </c>
      <c r="E1" s="58" t="s">
        <v>33</v>
      </c>
    </row>
    <row r="2" spans="1:5" ht="15" thickBot="1" x14ac:dyDescent="0.35">
      <c r="A2" s="32" t="s">
        <v>79</v>
      </c>
      <c r="B2" s="33" t="s">
        <v>80</v>
      </c>
      <c r="C2" s="72"/>
      <c r="D2" s="74"/>
      <c r="E2" s="59"/>
    </row>
    <row r="3" spans="1:5" ht="16.2" thickBot="1" x14ac:dyDescent="0.35">
      <c r="A3" s="34" t="s">
        <v>81</v>
      </c>
      <c r="B3" s="35"/>
      <c r="C3" s="36"/>
      <c r="D3" s="57">
        <f>SUM(D4:D18)</f>
        <v>508</v>
      </c>
      <c r="E3" s="62">
        <f>SUM(E4:E18)</f>
        <v>1239060</v>
      </c>
    </row>
    <row r="4" spans="1:5" ht="28.2" thickBot="1" x14ac:dyDescent="0.35">
      <c r="A4" s="34" t="s">
        <v>82</v>
      </c>
      <c r="B4" s="35"/>
      <c r="C4" s="36"/>
      <c r="D4" s="36" t="s">
        <v>83</v>
      </c>
      <c r="E4" s="60"/>
    </row>
    <row r="5" spans="1:5" ht="42" thickBot="1" x14ac:dyDescent="0.35">
      <c r="A5" s="34" t="s">
        <v>84</v>
      </c>
      <c r="B5" s="35">
        <v>370</v>
      </c>
      <c r="C5" s="36">
        <v>550</v>
      </c>
      <c r="D5" s="36">
        <v>22</v>
      </c>
      <c r="E5" s="60">
        <f>C5*D5</f>
        <v>12100</v>
      </c>
    </row>
    <row r="6" spans="1:5" ht="15" thickBot="1" x14ac:dyDescent="0.35">
      <c r="A6" s="34" t="s">
        <v>85</v>
      </c>
      <c r="B6" s="35"/>
      <c r="C6" s="36"/>
      <c r="D6" s="36"/>
      <c r="E6" s="60"/>
    </row>
    <row r="7" spans="1:5" ht="55.8" thickBot="1" x14ac:dyDescent="0.35">
      <c r="A7" s="34" t="s">
        <v>86</v>
      </c>
      <c r="B7" s="35">
        <v>1280</v>
      </c>
      <c r="C7" s="36">
        <v>2300</v>
      </c>
      <c r="D7" s="36">
        <v>130</v>
      </c>
      <c r="E7" s="60">
        <f>C7*D7</f>
        <v>299000</v>
      </c>
    </row>
    <row r="8" spans="1:5" ht="15" thickBot="1" x14ac:dyDescent="0.35">
      <c r="A8" s="34" t="s">
        <v>108</v>
      </c>
      <c r="B8" s="35">
        <v>1070</v>
      </c>
      <c r="C8" s="36">
        <v>1070</v>
      </c>
      <c r="D8" s="36">
        <v>30</v>
      </c>
      <c r="E8" s="60">
        <f>C8*D8</f>
        <v>32100</v>
      </c>
    </row>
    <row r="9" spans="1:5" ht="51.6" customHeight="1" thickBot="1" x14ac:dyDescent="0.35">
      <c r="A9" s="34" t="s">
        <v>109</v>
      </c>
      <c r="B9" s="35">
        <v>2840</v>
      </c>
      <c r="C9" s="36">
        <v>3000</v>
      </c>
      <c r="D9" s="36">
        <v>15</v>
      </c>
      <c r="E9" s="60">
        <f>C9*D9</f>
        <v>45000</v>
      </c>
    </row>
    <row r="10" spans="1:5" ht="15" thickBot="1" x14ac:dyDescent="0.35">
      <c r="A10" s="34" t="s">
        <v>87</v>
      </c>
      <c r="B10" s="35"/>
      <c r="C10" s="36"/>
      <c r="D10" s="36"/>
      <c r="E10" s="60"/>
    </row>
    <row r="11" spans="1:5" ht="55.8" thickBot="1" x14ac:dyDescent="0.35">
      <c r="A11" s="34" t="s">
        <v>88</v>
      </c>
      <c r="B11" s="35">
        <v>1985</v>
      </c>
      <c r="C11" s="36">
        <v>2900</v>
      </c>
      <c r="D11" s="36">
        <v>255</v>
      </c>
      <c r="E11" s="60">
        <f>C11*D11</f>
        <v>739500</v>
      </c>
    </row>
    <row r="12" spans="1:5" ht="15" thickBot="1" x14ac:dyDescent="0.35">
      <c r="A12" s="34" t="s">
        <v>110</v>
      </c>
      <c r="B12" s="35">
        <v>1080</v>
      </c>
      <c r="C12" s="36">
        <v>1080</v>
      </c>
      <c r="D12" s="36">
        <v>20</v>
      </c>
      <c r="E12" s="60">
        <f>C12*D12</f>
        <v>21600</v>
      </c>
    </row>
    <row r="13" spans="1:5" ht="63.6" customHeight="1" thickBot="1" x14ac:dyDescent="0.35">
      <c r="A13" s="34" t="s">
        <v>102</v>
      </c>
      <c r="B13" s="35">
        <v>2300</v>
      </c>
      <c r="C13" s="36">
        <v>3300</v>
      </c>
      <c r="D13" s="36">
        <v>4</v>
      </c>
      <c r="E13" s="60">
        <f>C13*D13</f>
        <v>13200</v>
      </c>
    </row>
    <row r="14" spans="1:5" ht="28.2" thickBot="1" x14ac:dyDescent="0.35">
      <c r="A14" s="34" t="s">
        <v>89</v>
      </c>
      <c r="B14" s="35"/>
      <c r="C14" s="36"/>
      <c r="D14" s="36"/>
      <c r="E14" s="60"/>
    </row>
    <row r="15" spans="1:5" ht="42" thickBot="1" x14ac:dyDescent="0.35">
      <c r="A15" s="34" t="s">
        <v>111</v>
      </c>
      <c r="B15" s="35">
        <v>3340</v>
      </c>
      <c r="C15" s="36">
        <v>3340</v>
      </c>
      <c r="D15" s="36">
        <v>10</v>
      </c>
      <c r="E15" s="60">
        <f>C15*D15</f>
        <v>33400</v>
      </c>
    </row>
    <row r="16" spans="1:5" ht="15" thickBot="1" x14ac:dyDescent="0.35">
      <c r="A16" s="34" t="s">
        <v>90</v>
      </c>
      <c r="B16" s="35"/>
      <c r="C16" s="36"/>
      <c r="D16" s="36"/>
      <c r="E16" s="60"/>
    </row>
    <row r="17" spans="1:6" ht="42" thickBot="1" x14ac:dyDescent="0.35">
      <c r="A17" s="34" t="s">
        <v>103</v>
      </c>
      <c r="B17" s="35">
        <v>2120</v>
      </c>
      <c r="C17" s="36">
        <v>2120</v>
      </c>
      <c r="D17" s="36">
        <v>19</v>
      </c>
      <c r="E17" s="60">
        <f>C17*D17</f>
        <v>40280</v>
      </c>
    </row>
    <row r="18" spans="1:6" ht="15" thickBot="1" x14ac:dyDescent="0.35">
      <c r="A18" s="34" t="s">
        <v>112</v>
      </c>
      <c r="B18" s="35">
        <v>960</v>
      </c>
      <c r="C18" s="36">
        <v>960</v>
      </c>
      <c r="D18" s="36">
        <v>3</v>
      </c>
      <c r="E18" s="60">
        <f>C18*D18</f>
        <v>2880</v>
      </c>
    </row>
    <row r="19" spans="1:6" ht="27.6" customHeight="1" thickBot="1" x14ac:dyDescent="0.35">
      <c r="A19" s="32" t="s">
        <v>91</v>
      </c>
      <c r="B19" s="35"/>
      <c r="C19" s="36"/>
      <c r="D19" s="65">
        <f>SUM(D20:D28)</f>
        <v>234</v>
      </c>
      <c r="E19" s="63">
        <f>SUM(E20:E28)</f>
        <v>47070</v>
      </c>
    </row>
    <row r="20" spans="1:6" ht="28.2" thickBot="1" x14ac:dyDescent="0.35">
      <c r="A20" s="34" t="s">
        <v>92</v>
      </c>
      <c r="B20" s="35">
        <v>110</v>
      </c>
      <c r="C20" s="36">
        <v>110</v>
      </c>
      <c r="D20" s="36">
        <v>191</v>
      </c>
      <c r="E20" s="60">
        <f>C20*D20</f>
        <v>21010</v>
      </c>
    </row>
    <row r="21" spans="1:6" ht="28.2" thickBot="1" x14ac:dyDescent="0.35">
      <c r="A21" s="34" t="s">
        <v>93</v>
      </c>
      <c r="B21" s="35">
        <v>600</v>
      </c>
      <c r="C21" s="36">
        <v>600</v>
      </c>
      <c r="D21" s="36">
        <v>14</v>
      </c>
      <c r="E21" s="60">
        <f t="shared" ref="E21:E28" si="0">C21*D21</f>
        <v>8400</v>
      </c>
    </row>
    <row r="22" spans="1:6" ht="15" thickBot="1" x14ac:dyDescent="0.35">
      <c r="A22" s="34" t="s">
        <v>94</v>
      </c>
      <c r="B22" s="35">
        <v>610</v>
      </c>
      <c r="C22" s="36">
        <v>610</v>
      </c>
      <c r="D22" s="36">
        <v>2</v>
      </c>
      <c r="E22" s="60">
        <f t="shared" si="0"/>
        <v>1220</v>
      </c>
    </row>
    <row r="23" spans="1:6" ht="45.6" customHeight="1" thickBot="1" x14ac:dyDescent="0.35">
      <c r="A23" s="34" t="s">
        <v>95</v>
      </c>
      <c r="B23" s="35">
        <v>710</v>
      </c>
      <c r="C23" s="36">
        <v>710</v>
      </c>
      <c r="D23" s="36">
        <v>21</v>
      </c>
      <c r="E23" s="60">
        <f t="shared" si="0"/>
        <v>14910</v>
      </c>
    </row>
    <row r="24" spans="1:6" ht="15" thickBot="1" x14ac:dyDescent="0.35">
      <c r="A24" s="34" t="s">
        <v>96</v>
      </c>
      <c r="B24" s="35">
        <v>40</v>
      </c>
      <c r="C24" s="36">
        <v>40</v>
      </c>
      <c r="D24" s="36">
        <v>3</v>
      </c>
      <c r="E24" s="60">
        <f t="shared" si="0"/>
        <v>120</v>
      </c>
    </row>
    <row r="25" spans="1:6" ht="28.2" thickBot="1" x14ac:dyDescent="0.35">
      <c r="A25" s="34" t="s">
        <v>97</v>
      </c>
      <c r="B25" s="35">
        <v>130</v>
      </c>
      <c r="C25" s="36">
        <v>130</v>
      </c>
      <c r="D25" s="36" t="s">
        <v>98</v>
      </c>
      <c r="E25" s="60"/>
    </row>
    <row r="26" spans="1:6" ht="15" thickBot="1" x14ac:dyDescent="0.35">
      <c r="A26" s="34" t="s">
        <v>99</v>
      </c>
      <c r="B26" s="35">
        <v>100</v>
      </c>
      <c r="C26" s="36">
        <v>100</v>
      </c>
      <c r="D26" s="36" t="s">
        <v>98</v>
      </c>
      <c r="E26" s="60"/>
    </row>
    <row r="27" spans="1:6" ht="28.2" thickBot="1" x14ac:dyDescent="0.35">
      <c r="A27" s="34" t="s">
        <v>100</v>
      </c>
      <c r="B27" s="35">
        <v>500</v>
      </c>
      <c r="C27" s="36">
        <v>500</v>
      </c>
      <c r="D27" s="36">
        <v>2</v>
      </c>
      <c r="E27" s="60">
        <f t="shared" si="0"/>
        <v>1000</v>
      </c>
    </row>
    <row r="28" spans="1:6" ht="15" thickBot="1" x14ac:dyDescent="0.35">
      <c r="A28" s="34" t="s">
        <v>101</v>
      </c>
      <c r="B28" s="35">
        <v>410</v>
      </c>
      <c r="C28" s="36">
        <v>410</v>
      </c>
      <c r="D28" s="36">
        <v>1</v>
      </c>
      <c r="E28" s="60">
        <f t="shared" si="0"/>
        <v>410</v>
      </c>
    </row>
    <row r="29" spans="1:6" x14ac:dyDescent="0.3">
      <c r="E29" s="64">
        <f>E3+E19</f>
        <v>1286130</v>
      </c>
      <c r="F29" s="25">
        <f>E29/11</f>
        <v>116920.90909090909</v>
      </c>
    </row>
    <row r="30" spans="1:6" x14ac:dyDescent="0.3">
      <c r="E30" s="64">
        <f>E29+F29</f>
        <v>1403050.9090909092</v>
      </c>
    </row>
  </sheetData>
  <mergeCells count="2">
    <mergeCell ref="C1:C2"/>
    <mergeCell ref="D1:D2"/>
  </mergeCells>
  <pageMargins left="0.7" right="0.7" top="0.75" bottom="0.75" header="0.3" footer="0.3"/>
  <pageSetup scale="9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6" sqref="C6"/>
    </sheetView>
  </sheetViews>
  <sheetFormatPr defaultRowHeight="14.4" x14ac:dyDescent="0.3"/>
  <cols>
    <col min="1" max="1" width="12.77734375" style="23" customWidth="1"/>
    <col min="2" max="2" width="11.109375" style="23" customWidth="1"/>
    <col min="3" max="3" width="12.6640625" style="23" customWidth="1"/>
    <col min="4" max="16384" width="8.88671875" style="23"/>
  </cols>
  <sheetData>
    <row r="1" spans="1:3" x14ac:dyDescent="0.3">
      <c r="B1" s="23" t="s">
        <v>135</v>
      </c>
      <c r="C1" s="23" t="s">
        <v>136</v>
      </c>
    </row>
    <row r="2" spans="1:3" x14ac:dyDescent="0.3">
      <c r="A2" s="23" t="s">
        <v>34</v>
      </c>
      <c r="B2" s="23">
        <v>15</v>
      </c>
      <c r="C2" s="23">
        <f>33+15</f>
        <v>48</v>
      </c>
    </row>
    <row r="3" spans="1:3" x14ac:dyDescent="0.3">
      <c r="A3" s="23" t="s">
        <v>35</v>
      </c>
      <c r="B3" s="26">
        <f>B2*17*365</f>
        <v>93075</v>
      </c>
      <c r="C3" s="26">
        <f>(33*365+15*334)*17</f>
        <v>289935</v>
      </c>
    </row>
    <row r="4" spans="1:3" x14ac:dyDescent="0.3">
      <c r="B4" s="26"/>
      <c r="C4" s="69">
        <f>B3+C3</f>
        <v>383010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7" sqref="G7"/>
    </sheetView>
  </sheetViews>
  <sheetFormatPr defaultRowHeight="14.4" x14ac:dyDescent="0.3"/>
  <cols>
    <col min="1" max="1" width="25.5546875" customWidth="1"/>
    <col min="2" max="2" width="12.44140625" style="23" customWidth="1"/>
    <col min="3" max="3" width="8.88671875" style="23"/>
    <col min="4" max="4" width="12" style="26" customWidth="1"/>
    <col min="5" max="5" width="12.77734375" style="23" customWidth="1"/>
    <col min="7" max="7" width="15" style="25" customWidth="1"/>
  </cols>
  <sheetData>
    <row r="1" spans="1:7" ht="28.8" x14ac:dyDescent="0.3">
      <c r="A1" s="20"/>
      <c r="B1" s="24" t="s">
        <v>34</v>
      </c>
      <c r="C1" s="24" t="s">
        <v>33</v>
      </c>
      <c r="D1" s="21" t="s">
        <v>42</v>
      </c>
      <c r="E1" s="24" t="s">
        <v>34</v>
      </c>
      <c r="F1" s="24" t="s">
        <v>33</v>
      </c>
      <c r="G1" s="21" t="s">
        <v>43</v>
      </c>
    </row>
    <row r="2" spans="1:7" x14ac:dyDescent="0.3">
      <c r="A2" s="20" t="s">
        <v>38</v>
      </c>
      <c r="B2" s="24">
        <v>163</v>
      </c>
      <c r="C2" s="24">
        <v>200</v>
      </c>
      <c r="D2" s="21">
        <f>B2*C2*12</f>
        <v>391200</v>
      </c>
      <c r="E2" s="24">
        <v>200</v>
      </c>
      <c r="F2" s="24">
        <v>200</v>
      </c>
      <c r="G2" s="27">
        <f>E2*F2*12</f>
        <v>480000</v>
      </c>
    </row>
    <row r="3" spans="1:7" x14ac:dyDescent="0.3">
      <c r="A3" s="20" t="s">
        <v>39</v>
      </c>
      <c r="B3" s="24">
        <v>21</v>
      </c>
      <c r="C3" s="24">
        <v>300</v>
      </c>
      <c r="D3" s="21">
        <f t="shared" ref="D3:D6" si="0">B3*C3*12</f>
        <v>75600</v>
      </c>
      <c r="E3" s="24">
        <v>25</v>
      </c>
      <c r="F3" s="24">
        <v>300</v>
      </c>
      <c r="G3" s="27">
        <f t="shared" ref="G3:G6" si="1">E3*F3*12</f>
        <v>90000</v>
      </c>
    </row>
    <row r="4" spans="1:7" x14ac:dyDescent="0.3">
      <c r="A4" s="20" t="s">
        <v>40</v>
      </c>
      <c r="B4" s="24">
        <v>761</v>
      </c>
      <c r="C4" s="24">
        <v>450</v>
      </c>
      <c r="D4" s="21">
        <f t="shared" si="0"/>
        <v>4109400</v>
      </c>
      <c r="E4" s="24">
        <v>800</v>
      </c>
      <c r="F4" s="24">
        <v>450</v>
      </c>
      <c r="G4" s="27">
        <f t="shared" si="1"/>
        <v>4320000</v>
      </c>
    </row>
    <row r="5" spans="1:7" x14ac:dyDescent="0.3">
      <c r="A5" s="20" t="s">
        <v>41</v>
      </c>
      <c r="B5" s="24">
        <v>107</v>
      </c>
      <c r="C5" s="24">
        <v>600</v>
      </c>
      <c r="D5" s="21">
        <f t="shared" si="0"/>
        <v>770400</v>
      </c>
      <c r="E5" s="24">
        <v>120</v>
      </c>
      <c r="F5" s="24">
        <v>600</v>
      </c>
      <c r="G5" s="27">
        <f t="shared" si="1"/>
        <v>864000</v>
      </c>
    </row>
    <row r="6" spans="1:7" x14ac:dyDescent="0.3">
      <c r="A6" s="20" t="s">
        <v>37</v>
      </c>
      <c r="B6" s="24">
        <v>42</v>
      </c>
      <c r="C6" s="24">
        <v>600</v>
      </c>
      <c r="D6" s="21">
        <f t="shared" si="0"/>
        <v>302400</v>
      </c>
      <c r="E6" s="24">
        <v>50</v>
      </c>
      <c r="F6" s="24">
        <v>600</v>
      </c>
      <c r="G6" s="27">
        <f t="shared" si="1"/>
        <v>360000</v>
      </c>
    </row>
    <row r="7" spans="1:7" x14ac:dyDescent="0.3">
      <c r="A7" s="20"/>
      <c r="B7" s="24">
        <f>SUM(B2:B6)</f>
        <v>1094</v>
      </c>
      <c r="C7" s="24">
        <f t="shared" ref="C7:G7" si="2">SUM(C2:C6)</f>
        <v>2150</v>
      </c>
      <c r="D7" s="24">
        <f t="shared" si="2"/>
        <v>5649000</v>
      </c>
      <c r="E7" s="24">
        <f t="shared" si="2"/>
        <v>1195</v>
      </c>
      <c r="F7" s="24">
        <f t="shared" si="2"/>
        <v>2150</v>
      </c>
      <c r="G7" s="28">
        <f t="shared" si="2"/>
        <v>6114000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კვების ვაუჩერი</vt:lpstr>
      <vt:lpstr>ადრეული</vt:lpstr>
      <vt:lpstr>რეაბილიტაციააბილიტაცია</vt:lpstr>
      <vt:lpstr>დღის ცენტრები</vt:lpstr>
      <vt:lpstr>ეტლები</vt:lpstr>
      <vt:lpstr>დამხმარე საშუალებები</vt:lpstr>
      <vt:lpstr>დედათა და ბავშვთა</vt:lpstr>
      <vt:lpstr>ფოსტერი</vt:lpstr>
      <vt:lpstr>მცირე საოჯახო</vt:lpstr>
      <vt:lpstr>ქუჩის ბავშვები</vt:lpstr>
      <vt:lpstr>სათემო</vt:lpstr>
      <vt:lpstr>შინ მოვლა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Kakachia</dc:creator>
  <cp:lastModifiedBy>Giorgi Kakachia</cp:lastModifiedBy>
  <cp:lastPrinted>2013-12-21T12:01:29Z</cp:lastPrinted>
  <dcterms:created xsi:type="dcterms:W3CDTF">2013-12-20T06:23:30Z</dcterms:created>
  <dcterms:modified xsi:type="dcterms:W3CDTF">2014-02-23T13:52:52Z</dcterms:modified>
</cp:coreProperties>
</file>